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120" windowHeight="9120" activeTab="0"/>
  </bookViews>
  <sheets>
    <sheet name="Metrics Manual" sheetId="1" r:id="rId1"/>
    <sheet name="Conversions" sheetId="2" r:id="rId2"/>
    <sheet name="Worship Attendance" sheetId="3" r:id="rId3"/>
    <sheet name="Market Share" sheetId="4" r:id="rId4"/>
    <sheet name="Worship Frequency" sheetId="5" r:id="rId5"/>
    <sheet name="Visitor Retention" sheetId="6" r:id="rId6"/>
    <sheet name="Ministry Involvement-Church" sheetId="7" r:id="rId7"/>
    <sheet name="Ministry Involvement-Community" sheetId="8" r:id="rId8"/>
    <sheet name="Ministry Involvement-World" sheetId="9" r:id="rId9"/>
    <sheet name="Ministry Involvement Composite" sheetId="10" r:id="rId10"/>
    <sheet name="Leadership Development" sheetId="11" r:id="rId11"/>
    <sheet name="Small Group Participation" sheetId="12" r:id="rId12"/>
    <sheet name="Tithing-Self Identified" sheetId="13" r:id="rId13"/>
    <sheet name="Tithing-Whole Church" sheetId="14" r:id="rId14"/>
  </sheets>
  <definedNames>
    <definedName name="_ftn1" localSheetId="13">'Tithing-Whole Church'!$A$14</definedName>
    <definedName name="_ftnref1" localSheetId="13">'Tithing-Whole Church'!$B$11</definedName>
    <definedName name="_xlnm.Print_Area" localSheetId="2">'Worship Attendance'!$A$1:$AD$54</definedName>
    <definedName name="_xlnm.Print_Titles" localSheetId="1">'Conversions'!$1:$1</definedName>
    <definedName name="_xlnm.Print_Titles" localSheetId="10">'Leadership Development'!$1:$1</definedName>
    <definedName name="_xlnm.Print_Titles" localSheetId="3">'Market Share'!$1:$1</definedName>
    <definedName name="_xlnm.Print_Titles" localSheetId="6">'Ministry Involvement-Church'!$1:$1</definedName>
    <definedName name="_xlnm.Print_Titles" localSheetId="7">'Ministry Involvement-Community'!$1:$1</definedName>
    <definedName name="_xlnm.Print_Titles" localSheetId="8">'Ministry Involvement-World'!$1:$1</definedName>
    <definedName name="_xlnm.Print_Titles" localSheetId="11">'Small Group Participation'!$1:$1</definedName>
    <definedName name="_xlnm.Print_Titles" localSheetId="12">'Tithing-Self Identified'!$1:$1</definedName>
    <definedName name="_xlnm.Print_Titles" localSheetId="13">'Tithing-Whole Church'!$1:$1</definedName>
    <definedName name="_xlnm.Print_Titles" localSheetId="5">'Visitor Retention'!$1:$2</definedName>
    <definedName name="_xlnm.Print_Titles" localSheetId="2">'Worship Attendance'!$1:$2</definedName>
    <definedName name="_xlnm.Print_Titles" localSheetId="4">'Worship Frequency'!$A:$B,'Worship Frequency'!$1:$1</definedName>
  </definedNames>
  <calcPr fullCalcOnLoad="1"/>
</workbook>
</file>

<file path=xl/comments10.xml><?xml version="1.0" encoding="utf-8"?>
<comments xmlns="http://schemas.openxmlformats.org/spreadsheetml/2006/main">
  <authors>
    <author>Barbara Dick</author>
  </authors>
  <commentList>
    <comment ref="K1" authorId="0">
      <text>
        <r>
          <rPr>
            <u val="single"/>
            <sz val="8"/>
            <rFont val="Tahoma"/>
            <family val="2"/>
          </rPr>
          <t xml:space="preserve">Instructions:
</t>
        </r>
        <r>
          <rPr>
            <sz val="8"/>
            <rFont val="Tahoma"/>
            <family val="2"/>
          </rPr>
          <t xml:space="preserve">1) Enter the total number of members and attendees in cell A2. In the sample, the formula in A2 counts the number of last names entered in the Ministry Involvement-Church worksheet.
2) </t>
        </r>
        <r>
          <rPr>
            <b/>
            <sz val="8"/>
            <rFont val="Tahoma"/>
            <family val="2"/>
          </rPr>
          <t>Serving in Church</t>
        </r>
        <r>
          <rPr>
            <sz val="8"/>
            <rFont val="Tahoma"/>
            <family val="2"/>
          </rPr>
          <t xml:space="preserve">: Enter the total number of members and attendees who meet your established criteria for Ministry Involvement in the Church. In the sample, the formula in cell B2 adds the numbers in the Status column of the Ministry Involvement-Church worksheet.
3) </t>
        </r>
        <r>
          <rPr>
            <b/>
            <sz val="8"/>
            <rFont val="Tahoma"/>
            <family val="2"/>
          </rPr>
          <t>Serving in the Community</t>
        </r>
        <r>
          <rPr>
            <sz val="8"/>
            <rFont val="Tahoma"/>
            <family val="2"/>
          </rPr>
          <t>: Enter the total number of members and attendees who meet your established criteria for Ministry Involvement in the Community. In the sample, the formula in D2 adds the numbers in the Status column of the Ministry Involvement-Community worksheet.
4)</t>
        </r>
        <r>
          <rPr>
            <b/>
            <sz val="8"/>
            <rFont val="Tahoma"/>
            <family val="2"/>
          </rPr>
          <t xml:space="preserve"> Serving in the World</t>
        </r>
        <r>
          <rPr>
            <sz val="8"/>
            <rFont val="Tahoma"/>
            <family val="2"/>
          </rPr>
          <t xml:space="preserve">: Enter the total number of members and attendees who meet your established criteria for Ministry Involvement in the World. In the sample, the formula in F2 adds the numbers in the Status column of the Ministry Involvement-World worksheet.
5) </t>
        </r>
        <r>
          <rPr>
            <b/>
            <sz val="8"/>
            <rFont val="Tahoma"/>
            <family val="2"/>
          </rPr>
          <t>Total Involvement</t>
        </r>
        <r>
          <rPr>
            <sz val="8"/>
            <rFont val="Tahoma"/>
            <family val="2"/>
          </rPr>
          <t>: Enter the total number of members and attendees who meet your established criteria for Total Ministry Involvement. In the sample, the formula in H2 adds the numbers in cells B2, D2, and F2.
6)</t>
        </r>
        <r>
          <rPr>
            <b/>
            <sz val="8"/>
            <rFont val="Tahoma"/>
            <family val="2"/>
          </rPr>
          <t xml:space="preserve"> Percentages</t>
        </r>
        <r>
          <rPr>
            <sz val="8"/>
            <rFont val="Tahoma"/>
            <family val="2"/>
          </rPr>
          <t xml:space="preserve">: To find the percentage in each category, divide the total number serving in that category by the Total constituents (column A). The formulas in cells C2, E2, G2, and I2 perform these calculations for the sample. Keep in mind that the totals shown here do not account for duplications (i.e., persons who meet the involvement criteria in more than one category). </t>
        </r>
      </text>
    </comment>
  </commentList>
</comments>
</file>

<file path=xl/comments11.xml><?xml version="1.0" encoding="utf-8"?>
<comments xmlns="http://schemas.openxmlformats.org/spreadsheetml/2006/main">
  <authors>
    <author>Barbara Dick</author>
  </authors>
  <commentList>
    <comment ref="N2" authorId="0">
      <text>
        <r>
          <rPr>
            <u val="single"/>
            <sz val="8"/>
            <rFont val="Tahoma"/>
            <family val="2"/>
          </rPr>
          <t>Instructions:</t>
        </r>
        <r>
          <rPr>
            <sz val="8"/>
            <rFont val="Tahoma"/>
            <family val="0"/>
          </rPr>
          <t xml:space="preserve">
1) Define "leader." Be sure to distinguish between governing leaders and ministry leaders.
2) When a potential leader is identified, enter his or her name in the spreadsheet.
3) </t>
        </r>
        <r>
          <rPr>
            <b/>
            <sz val="8"/>
            <rFont val="Tahoma"/>
            <family val="2"/>
          </rPr>
          <t>Recruited</t>
        </r>
        <r>
          <rPr>
            <sz val="8"/>
            <rFont val="Tahoma"/>
            <family val="0"/>
          </rPr>
          <t xml:space="preserve">: Enter the date the potential leader was recruited.
4) </t>
        </r>
        <r>
          <rPr>
            <b/>
            <sz val="8"/>
            <rFont val="Tahoma"/>
            <family val="2"/>
          </rPr>
          <t>Trained</t>
        </r>
        <r>
          <rPr>
            <sz val="8"/>
            <rFont val="Tahoma"/>
            <family val="0"/>
          </rPr>
          <t xml:space="preserve">: Enter the date that training (mentoring, shadowing, instruction, etc.) is completed, and the person is ready to assume leadership. 
5) </t>
        </r>
        <r>
          <rPr>
            <b/>
            <sz val="8"/>
            <rFont val="Tahoma"/>
            <family val="2"/>
          </rPr>
          <t>Deployed</t>
        </r>
        <r>
          <rPr>
            <sz val="8"/>
            <rFont val="Tahoma"/>
            <family val="0"/>
          </rPr>
          <t>: Enter the date the newly trained leader begins his or her first leadership role.
6)</t>
        </r>
        <r>
          <rPr>
            <b/>
            <sz val="8"/>
            <rFont val="Tahoma"/>
            <family val="2"/>
          </rPr>
          <t xml:space="preserve"> Levels</t>
        </r>
        <r>
          <rPr>
            <sz val="8"/>
            <rFont val="Tahoma"/>
            <family val="0"/>
          </rPr>
          <t>: If you choose to use levels to distinguish varying categories of leadership (those of Jim Collins from</t>
        </r>
        <r>
          <rPr>
            <i/>
            <sz val="8"/>
            <rFont val="Tahoma"/>
            <family val="2"/>
          </rPr>
          <t xml:space="preserve"> Good to Great</t>
        </r>
        <r>
          <rPr>
            <sz val="8"/>
            <rFont val="Tahoma"/>
            <family val="0"/>
          </rPr>
          <t xml:space="preserve">, or your own) define each level and label the columns accordingly. If you choose to use levels, enter a 1 in the appropriate column when a person is deployed.
7) </t>
        </r>
        <r>
          <rPr>
            <b/>
            <sz val="8"/>
            <rFont val="Tahoma"/>
            <family val="2"/>
          </rPr>
          <t>Total</t>
        </r>
        <r>
          <rPr>
            <sz val="8"/>
            <rFont val="Tahoma"/>
            <family val="0"/>
          </rPr>
          <t>: At the end of each year, count the number of people deployed within a year. That total represents the number of new leaders your church raised up and deployed in that year. A simple formula for counting the number of names in a column for this purpose is "Counta" (see cell L1 for an example).</t>
        </r>
      </text>
    </comment>
  </commentList>
</comments>
</file>

<file path=xl/comments12.xml><?xml version="1.0" encoding="utf-8"?>
<comments xmlns="http://schemas.openxmlformats.org/spreadsheetml/2006/main">
  <authors>
    <author>Barbara Dick</author>
  </authors>
  <commentList>
    <comment ref="F1" authorId="0">
      <text>
        <r>
          <rPr>
            <u val="single"/>
            <sz val="8"/>
            <rFont val="Tahoma"/>
            <family val="2"/>
          </rPr>
          <t>Instructions:</t>
        </r>
        <r>
          <rPr>
            <sz val="8"/>
            <rFont val="Tahoma"/>
            <family val="0"/>
          </rPr>
          <t xml:space="preserve">
1) Define "small group participation." Determine the level of engagement in a small group that constitutes full participation.
2) Enter the names of all members and attendees. If you are using the Ministry Involvement-Church worksheet, you can copy and paste the list of names from columns B and C of that worksheet. 
3) As each member and attendee meets your criteria for small group participation, enter a 1 beside the name in the Participating in Small Group column.
4) </t>
        </r>
        <r>
          <rPr>
            <sz val="8"/>
            <rFont val="Tahoma"/>
            <family val="2"/>
          </rPr>
          <t>To find the percentage of members and attendees participating in a small group, add the numbers in the Participating in Small Group column and divide the sum by the total number of members and attenders. The formula in cell D1 performs this calculation for the sample. It will update as you enter data.</t>
        </r>
      </text>
    </comment>
  </commentList>
</comments>
</file>

<file path=xl/comments13.xml><?xml version="1.0" encoding="utf-8"?>
<comments xmlns="http://schemas.openxmlformats.org/spreadsheetml/2006/main">
  <authors>
    <author>Barbara Dick</author>
  </authors>
  <commentList>
    <comment ref="M1" authorId="0">
      <text>
        <r>
          <rPr>
            <u val="single"/>
            <sz val="8"/>
            <rFont val="Tahoma"/>
            <family val="2"/>
          </rPr>
          <t>Instructions:</t>
        </r>
        <r>
          <rPr>
            <sz val="8"/>
            <rFont val="Tahoma"/>
            <family val="0"/>
          </rPr>
          <t xml:space="preserve">
1) Enter the family name for all household units associated with your church in column "A."  A household unit may be any of the following: husband and wife, single head of household, single or multiple income. If the household has more than one adult, include first names of the adults in columns B and C.
2) Ask each household if the members of the household tithe (give at least 10% of income) to the Lord's work. Each household will determine for itself the criteria for the answer. If the household says yes, enter an L in the column for the year you are tracking.
3) Ask each household if the members of the household tithe (give at least 10% of income) to the church. Each household will determine for itself the criteria for the answer. If the houshold says yes, enter a C in the column for the year you are tracking.
4) If a household answers yes to both questions, enter a B in the column for the year you are tracking.
5) Add the number of Ls + the number of Bs for the year to find the total number of households who report tithing to the Lord's work. The formula in cell E3 performs that calculation for the sample for the year 2007. 
6) Add the number of Cs + the number of Bs for the year to find the total number of households who report tithing to the church. The formula in cell E5 performs that calculation for the sample for the year 2007.
7) Add the number of Bs to find the total number of households who report tithing to the Lord's work and to the church. The formula in cell E7 performs that calculation for the sample for the year 2007.</t>
        </r>
      </text>
    </comment>
  </commentList>
</comments>
</file>

<file path=xl/comments14.xml><?xml version="1.0" encoding="utf-8"?>
<comments xmlns="http://schemas.openxmlformats.org/spreadsheetml/2006/main">
  <authors>
    <author>Barbara Dick</author>
  </authors>
  <commentList>
    <comment ref="I1" authorId="0">
      <text>
        <r>
          <rPr>
            <u val="single"/>
            <sz val="8"/>
            <rFont val="Tahoma"/>
            <family val="2"/>
          </rPr>
          <t>Instructions:</t>
        </r>
        <r>
          <rPr>
            <sz val="8"/>
            <rFont val="Tahoma"/>
            <family val="2"/>
          </rPr>
          <t xml:space="preserve">
1) Identify the communities you consider to be your church's "parish area" (i.e., the communities from which people could readily commute to your church for worship and other regular programs and activities).</t>
        </r>
        <r>
          <rPr>
            <sz val="8"/>
            <rFont val="Tahoma"/>
            <family val="0"/>
          </rPr>
          <t xml:space="preserve">
2) Discover the average annual household income for the communities included in your parish area. Record that number in column B (see cell B2 of the sample row).
3) Add up the number of households in your congregation and enter that number in column C for the year you are measuring. If you are using the Tithing-Self Identified worksheet, the formula "=COUNTA('Tithing-Self Identified'!A:A)-1" will calculate that number for you.
4) Multiply the average household income for your parish area by the number of households in your congregation. This figure (see cell D2 in the sample row) represents the composite or projected income for the households in your church. In the sample row, the formula for this is "=B2*C2".
5) Enter the total contribution income for the year in column E (see cell E2 in the sample row). To find the percentage of income actually given by the households in your congregation, divide your church’s contribution income for the year (column E) by the projected income for the church's households (column D). The result will be the percentage of the church income actually given by your church's households (see cell F2 in the sample row; the formula is "=E2/D2"). This figure is your church’s starting point.
6) Establish a goal to increase the percentage of a tithe actually given by your church’s households. Record that goal on this worksheet (see sample in cell G1). Create and implement a plan to achieve your goal. 
7) Repeat steps 1 through 5 at the end of each year and compare the percent given with that of the previous year. 
</t>
        </r>
      </text>
    </comment>
  </commentList>
</comments>
</file>

<file path=xl/comments2.xml><?xml version="1.0" encoding="utf-8"?>
<comments xmlns="http://schemas.openxmlformats.org/spreadsheetml/2006/main">
  <authors>
    <author>Barbara Dick</author>
  </authors>
  <commentList>
    <comment ref="I1" authorId="0">
      <text>
        <r>
          <rPr>
            <u val="single"/>
            <sz val="8"/>
            <rFont val="Tahoma"/>
            <family val="2"/>
          </rPr>
          <t>Instructions:</t>
        </r>
        <r>
          <rPr>
            <sz val="8"/>
            <rFont val="Tahoma"/>
            <family val="0"/>
          </rPr>
          <t xml:space="preserve">
1) To find the cost of conversions: Make two calculations, both of which start with the number of baptisms and/or confirmations. The numbers in Columns B, C, D, and E are included for demonstration only.
2) The formula in column F calculates the cost in people: The average worship attendance for the year divided by the number of baptisms + confirmations. See the Worship Attendance tab for instructions on calculating average worship attendance.
3) The formula in column G calculates the cost in dollars: The total church income for the year divided by the number of baptisms + confirmations.
4) Customize the worksheet for the way your denomination or church considers conversion (e.g., add columns and calculations for adult vs. junior confirmations, membership by profession of faith, infant vs. adult baptism).
5) To add a new year to the table: Copy the row of the last year and paste into the next open row. Update the year label and erase the numbers in the first four columns.</t>
        </r>
      </text>
    </comment>
  </commentList>
</comments>
</file>

<file path=xl/comments3.xml><?xml version="1.0" encoding="utf-8"?>
<comments xmlns="http://schemas.openxmlformats.org/spreadsheetml/2006/main">
  <authors>
    <author>Barbara Dick</author>
  </authors>
  <commentList>
    <comment ref="E1" authorId="0">
      <text>
        <r>
          <rPr>
            <u val="single"/>
            <sz val="8"/>
            <rFont val="Tahoma"/>
            <family val="2"/>
          </rPr>
          <t>Instructions:</t>
        </r>
        <r>
          <rPr>
            <sz val="8"/>
            <rFont val="Tahoma"/>
            <family val="2"/>
          </rPr>
          <t xml:space="preserve">
1) YTD Total and Weekly Average columns contain formulas that will calculate when the Worship Attendance figure is added each week. The figure in cell D55 represents the Average Weekly Attendance for the sample year. 
2) To add a new year: Copy columns A through D to a blank column to the right of the existing years in the worksheet. Delete the figures in the Worship Attendance column for the new year and replace the title "SAMPLE" with the year you are adding.</t>
        </r>
      </text>
    </comment>
  </commentList>
</comments>
</file>

<file path=xl/comments4.xml><?xml version="1.0" encoding="utf-8"?>
<comments xmlns="http://schemas.openxmlformats.org/spreadsheetml/2006/main">
  <authors>
    <author>Barbara Dick</author>
  </authors>
  <commentList>
    <comment ref="F1" authorId="0">
      <text>
        <r>
          <rPr>
            <u val="single"/>
            <sz val="8"/>
            <rFont val="Tahoma"/>
            <family val="2"/>
          </rPr>
          <t>Instructions:</t>
        </r>
        <r>
          <rPr>
            <sz val="8"/>
            <rFont val="Tahoma"/>
            <family val="0"/>
          </rPr>
          <t xml:space="preserve">
1) The numbers entered in columns B and C are for demonstration purposes only.
2) Enter the Total Parish Area Population. Identify the communities where your members and attenders live. Identify any additional adjacent communities you could reach if you were intentional about it. Check current census data for each community, add them together to arrive at your church's parish area population. Recheck these figures each year to check for population shifts and trends. 
3) Enter your current weekly average worship attendance. See the Worship Attendance worksheet for instructions on calculating this fiigure. 
4) The formula in the "Percentage" box will automatically calculate your market share.
5) To add a year: Copy the entire row of the last year in the table and paste it into the next open row. Once you add the Year label and data, you can sort the table by column headings so that the years appear in order. You may want to go back and calculate your market share for previous years to help in establishing your benchmark. </t>
        </r>
      </text>
    </comment>
  </commentList>
</comments>
</file>

<file path=xl/comments5.xml><?xml version="1.0" encoding="utf-8"?>
<comments xmlns="http://schemas.openxmlformats.org/spreadsheetml/2006/main">
  <authors>
    <author>Barbara Dick</author>
  </authors>
  <commentList>
    <comment ref="A13" authorId="0">
      <text>
        <r>
          <rPr>
            <u val="single"/>
            <sz val="8"/>
            <rFont val="Tahoma"/>
            <family val="2"/>
          </rPr>
          <t>Instructions:</t>
        </r>
        <r>
          <rPr>
            <sz val="8"/>
            <rFont val="Tahoma"/>
            <family val="0"/>
          </rPr>
          <t xml:space="preserve">
1) Create one row per member and attendee. To add a row: Insert a blank row above the "New Name" row. Copy and paste the entire "New Name" row into the blank row. This will update the formulas and ensure that they continue to work properly.
2) Enter the last and first name of the new member or attender. To see the worksheet in alphabetical order: Select all but the Totals row and sort by last name.
3) Each week the person is in attendance, enter a 1 in the column corresponding to that week. Formulas in the "Quarter" columns calculate the percentage of weeks that person has been in attendance year-to-date.
4) Totals row (shaded green): The number at the bottom of column B is the total number of members/attendees in your church. The totals at the bottom of each Week and Quarter column indicate the number of attendees each Week and the average percentage of Worship Frequency Year-to-date, respectively.
</t>
        </r>
      </text>
    </comment>
  </commentList>
</comments>
</file>

<file path=xl/comments6.xml><?xml version="1.0" encoding="utf-8"?>
<comments xmlns="http://schemas.openxmlformats.org/spreadsheetml/2006/main">
  <authors>
    <author>Barbara Dick</author>
  </authors>
  <commentList>
    <comment ref="I1" authorId="0">
      <text>
        <r>
          <rPr>
            <u val="single"/>
            <sz val="8"/>
            <rFont val="Tahoma"/>
            <family val="2"/>
          </rPr>
          <t>Instructions:</t>
        </r>
        <r>
          <rPr>
            <sz val="8"/>
            <rFont val="Tahoma"/>
            <family val="2"/>
          </rPr>
          <t xml:space="preserve">
1) Define "visitor." Enter the name of each person meeting your criteria for a visitor. Enter the date of the person's initial visit to the church (or the date you first received his or her name and contact information.
2) </t>
        </r>
        <r>
          <rPr>
            <b/>
            <sz val="8"/>
            <rFont val="Tahoma"/>
            <family val="2"/>
          </rPr>
          <t>Attendance</t>
        </r>
        <r>
          <rPr>
            <sz val="8"/>
            <rFont val="Tahoma"/>
            <family val="2"/>
          </rPr>
          <t xml:space="preserve">: Determine how many times per month, on average, a person must attend worship to be considered assimilated (e.g., a minimum average of two weekends per month). When a person meets the attendance assimilation criteria, enter a 1 in the Attendance column for that person.
3) </t>
        </r>
        <r>
          <rPr>
            <b/>
            <sz val="8"/>
            <rFont val="Tahoma"/>
            <family val="2"/>
          </rPr>
          <t>Small Group</t>
        </r>
        <r>
          <rPr>
            <sz val="8"/>
            <rFont val="Tahoma"/>
            <family val="2"/>
          </rPr>
          <t xml:space="preserve">: When the person becomes involved in the life of a small group, enter a 1 in the Small Group column.
4) </t>
        </r>
        <r>
          <rPr>
            <b/>
            <sz val="8"/>
            <rFont val="Tahoma"/>
            <family val="2"/>
          </rPr>
          <t>Ministry</t>
        </r>
        <r>
          <rPr>
            <sz val="8"/>
            <rFont val="Tahoma"/>
            <family val="2"/>
          </rPr>
          <t xml:space="preserve">: When the person becomes involved in some aspect of ministry, enter a 1 in the Ministry column .
5) </t>
        </r>
        <r>
          <rPr>
            <b/>
            <sz val="8"/>
            <rFont val="Tahoma"/>
            <family val="2"/>
          </rPr>
          <t>Retained Visitor</t>
        </r>
        <r>
          <rPr>
            <sz val="8"/>
            <rFont val="Tahoma"/>
            <family val="2"/>
          </rPr>
          <t xml:space="preserve">: Determine the criteria for assimilation or retention (e.g., has met the criteria for 2 or 3 involvement categories (Attendance, Small Group, Ministry). When a visitor meets your criteria for assimilation or retention, enter a 1 in the Retained Visitor column.
6) </t>
        </r>
        <r>
          <rPr>
            <b/>
            <sz val="8"/>
            <rFont val="Tahoma"/>
            <family val="2"/>
          </rPr>
          <t>Retention Rate</t>
        </r>
        <r>
          <rPr>
            <sz val="8"/>
            <rFont val="Tahoma"/>
            <family val="2"/>
          </rPr>
          <t xml:space="preserve">: Choose an Initial Date range (e.g., 3 months or 1 year from first date to last). To find your church's retention rate for the chosen period: add the numbers in the Retained Visitor column for the corresponding date range and divide the sum by the total number of visitors for the same period. For example, if you had 12 visitors within a three month period, and 3 of those visitors met your criteria for assimilation, your church's retention rate would be 25% (3/12=.25).
</t>
        </r>
      </text>
    </comment>
  </commentList>
</comments>
</file>

<file path=xl/comments7.xml><?xml version="1.0" encoding="utf-8"?>
<comments xmlns="http://schemas.openxmlformats.org/spreadsheetml/2006/main">
  <authors>
    <author>Barbara Dick</author>
  </authors>
  <commentList>
    <comment ref="O1" authorId="0">
      <text>
        <r>
          <rPr>
            <u val="single"/>
            <sz val="8"/>
            <rFont val="Tahoma"/>
            <family val="2"/>
          </rPr>
          <t>Instructions:</t>
        </r>
        <r>
          <rPr>
            <sz val="8"/>
            <rFont val="Tahoma"/>
            <family val="2"/>
          </rPr>
          <t xml:space="preserve">
1) Define "involved." Determine the criteria for what constitutes involvement in your church's ministry. Adapt the table to your setting--revise column headings and add new columns. If you are not using a two-tiered system, delete columns K and L. 
2) Enter the names of all members and attendees. 
3) Enter a 1 in each column that applies for each person's ministry involvement. 
4) If the person meets your definition of involved, enter a 1 in the Status column beside the name.
5) To find the percentage of people involved in ministry, divide the sum of the numbers in the Status column by the total number of people listed. The formula in cell M1 has done this calculation for the sample shown. It will update as you enter your data.</t>
        </r>
      </text>
    </comment>
  </commentList>
</comments>
</file>

<file path=xl/comments8.xml><?xml version="1.0" encoding="utf-8"?>
<comments xmlns="http://schemas.openxmlformats.org/spreadsheetml/2006/main">
  <authors>
    <author>Barbara Dick</author>
  </authors>
  <commentList>
    <comment ref="N1" authorId="0">
      <text>
        <r>
          <rPr>
            <u val="single"/>
            <sz val="8"/>
            <rFont val="Tahoma"/>
            <family val="2"/>
          </rPr>
          <t>Instructions:</t>
        </r>
        <r>
          <rPr>
            <sz val="8"/>
            <rFont val="Tahoma"/>
            <family val="2"/>
          </rPr>
          <t xml:space="preserve">
1) Define "community ministry involvement." Determine the criteria for what constitutes involvement in your church's ministry in the community. Adapt the table to your setting--revise column headings and add new columns. 
2) Copy and paste the names of all members and attendees from the Ministry Involvement-Church worksheet.
3) Enter a 1 in each column that applies for each person's ministry involvement. 
4) If the person meets your definition of involved, enter a 1 in the Status column beside the name.
5) To find the percentage of people involved in community ministry, divide the sum of the numbers in the Status column by the total number of people listed. The formula in cell L1 performs this calculation for the sample and will update as you enter data. </t>
        </r>
      </text>
    </comment>
  </commentList>
</comments>
</file>

<file path=xl/comments9.xml><?xml version="1.0" encoding="utf-8"?>
<comments xmlns="http://schemas.openxmlformats.org/spreadsheetml/2006/main">
  <authors>
    <author>Barbara Dick</author>
  </authors>
  <commentList>
    <comment ref="K1" authorId="0">
      <text>
        <r>
          <rPr>
            <u val="single"/>
            <sz val="8"/>
            <rFont val="Tahoma"/>
            <family val="2"/>
          </rPr>
          <t>Instructions:</t>
        </r>
        <r>
          <rPr>
            <sz val="8"/>
            <rFont val="Tahoma"/>
            <family val="2"/>
          </rPr>
          <t xml:space="preserve">
1) Define "world ministry involvement." Determine the criteria for what constitutes involvement in your church's ministry in the world. Adapt the table to your setting--revise column headings and add new columns. 
2) Copy and paste the names of all members and attendees from the Ministry Involvement-Church worksheet.
3) Enter a 1 in each column that applies for each person's ministry involvement. 
4) If the person meets your definition of involved, enter a 1 in the Status column beside the name.
5) To find the percentage of people involved in world ministry, divide the sum of the numbers in the Status column by the total number of people listed. The formula in cell I1 performs this calculation for the sample and will update as you enter data. </t>
        </r>
      </text>
    </comment>
  </commentList>
</comments>
</file>

<file path=xl/sharedStrings.xml><?xml version="1.0" encoding="utf-8"?>
<sst xmlns="http://schemas.openxmlformats.org/spreadsheetml/2006/main" count="266" uniqueCount="148">
  <si>
    <t>Last Name</t>
  </si>
  <si>
    <t>First Name</t>
  </si>
  <si>
    <t>Ministry Leader</t>
  </si>
  <si>
    <t>Ministry Worker</t>
  </si>
  <si>
    <t>Small Group Leader</t>
  </si>
  <si>
    <t>Teacher</t>
  </si>
  <si>
    <t>Staff</t>
  </si>
  <si>
    <t>Level Two</t>
  </si>
  <si>
    <t>Status</t>
  </si>
  <si>
    <t>Board or Committee</t>
  </si>
  <si>
    <t>Career Missionary</t>
  </si>
  <si>
    <t>Clergy or Clergy Spouse</t>
  </si>
  <si>
    <t>Cross-cultural "Missionary"</t>
  </si>
  <si>
    <t>Percentage</t>
  </si>
  <si>
    <t>Total Constituents</t>
  </si>
  <si>
    <t>SAMPLE</t>
  </si>
  <si>
    <t>Week</t>
  </si>
  <si>
    <t>Attendance</t>
  </si>
  <si>
    <t>Habitat for Humanity</t>
  </si>
  <si>
    <t>Crisis Pregnancy Center</t>
  </si>
  <si>
    <t>School Volunteer</t>
  </si>
  <si>
    <t>Hospital Volunteer</t>
  </si>
  <si>
    <t>Non-profit Volunteer</t>
  </si>
  <si>
    <t>Community Food Pantry</t>
  </si>
  <si>
    <t>Worship Arts, Music Team</t>
  </si>
  <si>
    <t>Parish Area Population</t>
  </si>
  <si>
    <t>Year</t>
  </si>
  <si>
    <t>Visitors</t>
  </si>
  <si>
    <t>Involvement</t>
  </si>
  <si>
    <t>Retained Visitor</t>
  </si>
  <si>
    <t>Ministry</t>
  </si>
  <si>
    <t>Small Group</t>
  </si>
  <si>
    <t>Initial Date</t>
  </si>
  <si>
    <t>Participating in Small Group</t>
  </si>
  <si>
    <t>Recruited</t>
  </si>
  <si>
    <t>Trained</t>
  </si>
  <si>
    <t>Deployed</t>
  </si>
  <si>
    <t>Level 1</t>
  </si>
  <si>
    <t>Level 2</t>
  </si>
  <si>
    <t>Level 3</t>
  </si>
  <si>
    <t>Level 4</t>
  </si>
  <si>
    <t>Level 5</t>
  </si>
  <si>
    <t xml:space="preserve">First Name </t>
  </si>
  <si>
    <t>Average Household Income for Parish Area</t>
  </si>
  <si>
    <t>Church Giving as a Percent of Income</t>
  </si>
  <si>
    <t>Sample</t>
  </si>
  <si>
    <t>Allen</t>
  </si>
  <si>
    <t>Allison</t>
  </si>
  <si>
    <t>Roger</t>
  </si>
  <si>
    <t>Anderson</t>
  </si>
  <si>
    <t>George</t>
  </si>
  <si>
    <t>Bowie</t>
  </si>
  <si>
    <t>Edward</t>
  </si>
  <si>
    <t>Susan</t>
  </si>
  <si>
    <t>Carter</t>
  </si>
  <si>
    <t>Clarissa</t>
  </si>
  <si>
    <t>Dudley</t>
  </si>
  <si>
    <t>Sarah</t>
  </si>
  <si>
    <t>Number of Baptisms</t>
  </si>
  <si>
    <t>Average Annual Worship Attendance</t>
  </si>
  <si>
    <t>Total Annual Church Income</t>
  </si>
  <si>
    <t>People Cost per Conversion</t>
  </si>
  <si>
    <t>Dollar Cost per Conversion</t>
  </si>
  <si>
    <t>Number of  Confirmations</t>
  </si>
  <si>
    <t>Average Weekly Worship Attendance**</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</si>
  <si>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</si>
  <si>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</si>
  <si>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</si>
  <si>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</si>
  <si>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</si>
  <si>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</si>
  <si>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</si>
  <si>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</si>
  <si>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</si>
  <si>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</si>
  <si>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</si>
  <si>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</si>
  <si>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</si>
  <si>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</si>
  <si>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</si>
  <si>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</si>
  <si>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</si>
  <si>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</si>
  <si>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</si>
  <si>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52</t>
  </si>
  <si>
    <t>Week 51</t>
  </si>
  <si>
    <t>Week 50</t>
  </si>
  <si>
    <t>Week 49</t>
  </si>
  <si>
    <t>Week 48</t>
  </si>
  <si>
    <t>Week 47</t>
  </si>
  <si>
    <t>Week 46</t>
  </si>
  <si>
    <t>Week 45</t>
  </si>
  <si>
    <t>Week 44</t>
  </si>
  <si>
    <t>Week 43</t>
  </si>
  <si>
    <t>Week 42</t>
  </si>
  <si>
    <t>Week 41</t>
  </si>
  <si>
    <t>Week 40</t>
  </si>
  <si>
    <t>Week 39</t>
  </si>
  <si>
    <t>Week 38</t>
  </si>
  <si>
    <t>Week 37</t>
  </si>
  <si>
    <t>Week 36</t>
  </si>
  <si>
    <t>Week 35</t>
  </si>
  <si>
    <t>Week 34</t>
  </si>
  <si>
    <t>Week 33</t>
  </si>
  <si>
    <t>Week 32</t>
  </si>
  <si>
    <t>Week 31</t>
  </si>
  <si>
    <t>Week 30</t>
  </si>
  <si>
    <t>Week 29</t>
  </si>
  <si>
    <t>Week 28</t>
  </si>
  <si>
    <t>Week 27</t>
  </si>
  <si>
    <t>Week 26</t>
  </si>
  <si>
    <t>Week 25</t>
  </si>
  <si>
    <t>Week 24</t>
  </si>
  <si>
    <t>Week 23</t>
  </si>
  <si>
    <t>Week 22</t>
  </si>
  <si>
    <t>Week 21</t>
  </si>
  <si>
    <t>Week 20</t>
  </si>
  <si>
    <t>Totals</t>
  </si>
  <si>
    <t>New Name</t>
  </si>
  <si>
    <t>2nd Quarter YTD</t>
  </si>
  <si>
    <t>1st Quarter YTD</t>
  </si>
  <si>
    <t>3rd Quarter YTD</t>
  </si>
  <si>
    <t>4th Quarter YTD</t>
  </si>
  <si>
    <t>Level One</t>
  </si>
  <si>
    <t>Other</t>
  </si>
  <si>
    <t>Serving in the World</t>
  </si>
  <si>
    <t>Community Involvement Percentage</t>
  </si>
  <si>
    <t>Total Involvement</t>
  </si>
  <si>
    <t>Church Involvement Percentage</t>
  </si>
  <si>
    <t>World Involvement Percentage</t>
  </si>
  <si>
    <t>Total Involvement Percentage</t>
  </si>
  <si>
    <t>Tithing: Self Reporting Household Name</t>
  </si>
  <si>
    <t>L</t>
  </si>
  <si>
    <t>C</t>
  </si>
  <si>
    <t>B</t>
  </si>
  <si>
    <t>Lord's Work</t>
  </si>
  <si>
    <t>Church</t>
  </si>
  <si>
    <t>Both</t>
  </si>
  <si>
    <t xml:space="preserve">Members/Attenders Expressed as Number of Households </t>
  </si>
  <si>
    <t>Projected Income of Church Households</t>
  </si>
  <si>
    <t>Total Actual  Contribution Income</t>
  </si>
  <si>
    <t>Worship Attendance</t>
  </si>
  <si>
    <t>YTD Total</t>
  </si>
  <si>
    <t>Weekly Average</t>
  </si>
  <si>
    <t>Serving in the Community</t>
  </si>
  <si>
    <t>Serving in the Church</t>
  </si>
  <si>
    <t>2007 Total:</t>
  </si>
  <si>
    <t>Goal: Increase Giving to 6% by 2010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</si>
</sst>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quot;$&quot;#,##0.00"/>
    <numFmt numFmtId="171" formatCode="&quot;$&quot;#,##0.0"/>
    <numFmt numFmtId="172" formatCode="0.000"/>
    <numFmt numFmtId="173" formatCode="mm/dd/yy"/>
  </numFmts>
  <fonts count="14">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sz val="12"/>
      <name val="Times New Roman"/>
      <family val="1"/>
    </font>
    <font>
      <b/>
      <sz val="10"/>
      <color indexed="10"/>
      <name val="Arial"/>
      <family val="2"/>
    </font>
    <font>
      <u val="single"/>
      <sz val="8"/>
      <name val="Tahoma"/>
      <family val="2"/>
    </font>
    <font>
      <sz val="8"/>
      <name val="Times New Roman"/>
      <family val="1"/>
    </font>
    <font>
      <sz val="10"/>
      <name val="Times New Roman"/>
      <family val="1"/>
    </font>
    <font>
      <i/>
      <sz val="8"/>
      <name val="Tahoma"/>
      <family val="2"/>
    </font>
    <font>
      <b/>
      <sz val="10"/>
      <color indexed="12"/>
      <name val="Arial"/>
      <family val="2"/>
    </font>
    <font>
      <b/>
      <sz val="8"/>
      <name val="Tahoma"/>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34">
    <border>
      <left/>
      <right/>
      <top/>
      <bottom/>
      <diagonal/>
    </border>
    <border>
      <left>
        <color indexed="63"/>
      </left>
      <right>
        <color indexed="63"/>
      </right>
      <top>
        <color indexed="63"/>
      </top>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style="thin"/>
      <right style="thin"/>
      <top style="double"/>
      <bottom style="double"/>
    </border>
    <border>
      <left style="thin"/>
      <right>
        <color indexed="63"/>
      </right>
      <top>
        <color indexed="63"/>
      </top>
      <bottom style="double"/>
    </border>
    <border>
      <left style="medium"/>
      <right style="medium"/>
      <top style="medium"/>
      <bottom style="medium"/>
    </border>
    <border>
      <left style="thin"/>
      <right style="hair"/>
      <top style="thin"/>
      <bottom style="thin"/>
    </border>
    <border>
      <left style="hair"/>
      <right style="hair"/>
      <top style="thin"/>
      <bottom style="thin"/>
    </border>
    <border>
      <left style="hair"/>
      <right style="medium"/>
      <top style="thin"/>
      <bottom style="thin"/>
    </border>
    <border>
      <left style="hair"/>
      <right style="thin"/>
      <top style="thin"/>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medium"/>
      <right style="medium"/>
      <top style="medium"/>
      <bottom style="double"/>
    </border>
    <border>
      <left style="hair"/>
      <right style="medium"/>
      <top style="thin"/>
      <bottom style="double"/>
    </border>
    <border>
      <left>
        <color indexed="63"/>
      </left>
      <right style="medium"/>
      <top>
        <color indexed="63"/>
      </top>
      <bottom style="double"/>
    </border>
    <border>
      <left style="thin"/>
      <right style="medium"/>
      <top style="double"/>
      <bottom>
        <color indexed="63"/>
      </bottom>
    </border>
    <border>
      <left style="thin"/>
      <right style="medium"/>
      <top>
        <color indexed="63"/>
      </top>
      <bottom style="thick"/>
    </border>
    <border>
      <left style="thin"/>
      <right style="medium"/>
      <top style="thick"/>
      <bottom>
        <color indexed="63"/>
      </bottom>
    </border>
    <border>
      <left style="thin"/>
      <right style="medium"/>
      <top>
        <color indexed="63"/>
      </top>
      <bottom style="thin"/>
    </border>
    <border>
      <left>
        <color indexed="63"/>
      </left>
      <right style="medium"/>
      <top>
        <color indexed="63"/>
      </top>
      <bottom>
        <color indexed="63"/>
      </bottom>
    </border>
    <border>
      <left style="thin"/>
      <right style="medium"/>
      <top>
        <color indexed="63"/>
      </top>
      <bottom style="double"/>
    </border>
    <border>
      <left style="thin"/>
      <right style="medium"/>
      <top style="thin"/>
      <bottom style="double"/>
    </border>
    <border>
      <left>
        <color indexed="63"/>
      </left>
      <right>
        <color indexed="63"/>
      </right>
      <top style="double"/>
      <bottom>
        <color indexed="63"/>
      </bottom>
    </border>
    <border>
      <left style="hair"/>
      <right style="thin"/>
      <top style="thin"/>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style="medium"/>
      <top style="medium"/>
      <bottom style="double"/>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164" fontId="0" fillId="0" borderId="0" xfId="0" applyNumberFormat="1" applyAlignment="1">
      <alignment/>
    </xf>
    <xf numFmtId="0" fontId="1" fillId="0" borderId="0" xfId="0" applyFont="1" applyBorder="1" applyAlignment="1">
      <alignment horizontal="center"/>
    </xf>
    <xf numFmtId="0" fontId="1" fillId="2" borderId="1" xfId="0" applyFont="1" applyFill="1" applyBorder="1" applyAlignment="1">
      <alignment horizontal="center"/>
    </xf>
    <xf numFmtId="0" fontId="0" fillId="0" borderId="2" xfId="0" applyBorder="1" applyAlignment="1">
      <alignment horizontal="center"/>
    </xf>
    <xf numFmtId="0" fontId="0" fillId="0" borderId="2" xfId="0" applyBorder="1" applyAlignment="1">
      <alignment/>
    </xf>
    <xf numFmtId="0" fontId="0" fillId="0" borderId="3" xfId="0" applyBorder="1" applyAlignment="1">
      <alignment horizontal="center"/>
    </xf>
    <xf numFmtId="0" fontId="1" fillId="2" borderId="4" xfId="0" applyFont="1" applyFill="1" applyBorder="1" applyAlignment="1">
      <alignment/>
    </xf>
    <xf numFmtId="0" fontId="1" fillId="2" borderId="5" xfId="0" applyFont="1" applyFill="1" applyBorder="1" applyAlignment="1">
      <alignment horizontal="center"/>
    </xf>
    <xf numFmtId="0" fontId="0" fillId="0" borderId="0" xfId="0" applyAlignment="1">
      <alignment wrapText="1"/>
    </xf>
    <xf numFmtId="0" fontId="0" fillId="0" borderId="0" xfId="0" applyAlignment="1">
      <alignment horizontal="center"/>
    </xf>
    <xf numFmtId="0" fontId="1" fillId="2" borderId="6" xfId="0" applyFont="1" applyFill="1" applyBorder="1" applyAlignment="1">
      <alignment horizontal="center" wrapText="1"/>
    </xf>
    <xf numFmtId="169" fontId="0" fillId="0" borderId="0" xfId="0" applyNumberFormat="1" applyAlignment="1">
      <alignment horizontal="center"/>
    </xf>
    <xf numFmtId="164" fontId="0" fillId="0" borderId="0" xfId="0" applyNumberFormat="1" applyAlignment="1">
      <alignment horizontal="center"/>
    </xf>
    <xf numFmtId="9" fontId="0" fillId="0" borderId="0" xfId="0" applyNumberFormat="1" applyAlignment="1">
      <alignment/>
    </xf>
    <xf numFmtId="0" fontId="5" fillId="0" borderId="0" xfId="0" applyFont="1" applyAlignment="1">
      <alignment/>
    </xf>
    <xf numFmtId="0" fontId="0" fillId="0" borderId="0" xfId="0" applyAlignment="1">
      <alignment horizontal="left" vertical="top" wrapText="1"/>
    </xf>
    <xf numFmtId="3" fontId="0" fillId="0" borderId="0" xfId="0" applyNumberFormat="1" applyAlignment="1">
      <alignment horizontal="left" vertical="top" wrapText="1"/>
    </xf>
    <xf numFmtId="169" fontId="0" fillId="0" borderId="0" xfId="0" applyNumberFormat="1" applyAlignment="1">
      <alignment horizontal="left" vertical="top" wrapText="1"/>
    </xf>
    <xf numFmtId="3" fontId="0" fillId="0" borderId="0" xfId="0" applyNumberFormat="1" applyAlignment="1">
      <alignment horizontal="center"/>
    </xf>
    <xf numFmtId="10" fontId="0" fillId="0" borderId="0" xfId="0" applyNumberFormat="1" applyAlignment="1">
      <alignment horizontal="center"/>
    </xf>
    <xf numFmtId="0" fontId="1" fillId="0" borderId="0" xfId="0" applyFont="1" applyFill="1" applyBorder="1" applyAlignment="1">
      <alignment horizontal="center"/>
    </xf>
    <xf numFmtId="0" fontId="0" fillId="0" borderId="0" xfId="0" applyFont="1" applyAlignment="1">
      <alignment/>
    </xf>
    <xf numFmtId="0" fontId="1" fillId="0" borderId="0" xfId="0" applyFont="1" applyFill="1" applyBorder="1" applyAlignment="1">
      <alignment horizontal="center" wrapText="1"/>
    </xf>
    <xf numFmtId="9" fontId="0" fillId="0" borderId="0" xfId="0" applyNumberFormat="1"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Alignment="1">
      <alignment horizontal="center" wrapText="1"/>
    </xf>
    <xf numFmtId="0" fontId="9" fillId="0" borderId="0" xfId="0" applyFont="1" applyAlignment="1">
      <alignment/>
    </xf>
    <xf numFmtId="0" fontId="8" fillId="0" borderId="0" xfId="0" applyFont="1" applyAlignment="1">
      <alignment/>
    </xf>
    <xf numFmtId="9" fontId="11" fillId="2" borderId="7" xfId="0" applyNumberFormat="1" applyFont="1" applyFill="1" applyBorder="1" applyAlignment="1">
      <alignment horizontal="center" vertical="center" wrapText="1"/>
    </xf>
    <xf numFmtId="0" fontId="0" fillId="0" borderId="0" xfId="0" applyAlignment="1">
      <alignment horizontal="center" vertical="top"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9" fontId="11" fillId="0" borderId="9" xfId="0" applyNumberFormat="1" applyFont="1" applyFill="1" applyBorder="1" applyAlignment="1">
      <alignment horizontal="center" vertical="center"/>
    </xf>
    <xf numFmtId="9" fontId="11" fillId="0" borderId="11" xfId="0" applyNumberFormat="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0" xfId="0"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9" fontId="11" fillId="2" borderId="15" xfId="0" applyNumberFormat="1" applyFont="1" applyFill="1" applyBorder="1" applyAlignment="1">
      <alignment horizontal="center" vertic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6" xfId="0" applyFont="1" applyFill="1" applyBorder="1" applyAlignment="1">
      <alignment horizontal="center" wrapText="1"/>
    </xf>
    <xf numFmtId="0" fontId="1" fillId="2" borderId="17" xfId="0" applyFont="1" applyFill="1" applyBorder="1" applyAlignment="1">
      <alignment horizontal="center"/>
    </xf>
    <xf numFmtId="0" fontId="0" fillId="3" borderId="18" xfId="0" applyFont="1" applyFill="1" applyBorder="1" applyAlignment="1">
      <alignment horizontal="center"/>
    </xf>
    <xf numFmtId="0" fontId="0" fillId="3" borderId="19" xfId="0" applyFont="1" applyFill="1" applyBorder="1" applyAlignment="1">
      <alignment horizontal="center" vertical="center"/>
    </xf>
    <xf numFmtId="0" fontId="0" fillId="3" borderId="20" xfId="0" applyFont="1" applyFill="1" applyBorder="1" applyAlignment="1">
      <alignment horizontal="center"/>
    </xf>
    <xf numFmtId="0" fontId="0" fillId="3" borderId="21" xfId="0" applyFont="1" applyFill="1" applyBorder="1" applyAlignment="1">
      <alignment horizontal="center" vertical="center"/>
    </xf>
    <xf numFmtId="0" fontId="0" fillId="0" borderId="22" xfId="0" applyBorder="1" applyAlignment="1">
      <alignment/>
    </xf>
    <xf numFmtId="0" fontId="0" fillId="0" borderId="22" xfId="0" applyFill="1" applyBorder="1" applyAlignment="1">
      <alignment/>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2" borderId="1" xfId="0" applyFont="1" applyFill="1" applyBorder="1" applyAlignment="1">
      <alignment/>
    </xf>
    <xf numFmtId="0" fontId="0" fillId="0" borderId="25" xfId="0" applyBorder="1" applyAlignment="1">
      <alignment/>
    </xf>
    <xf numFmtId="0" fontId="0" fillId="0" borderId="0" xfId="0" applyBorder="1" applyAlignment="1">
      <alignment/>
    </xf>
    <xf numFmtId="0" fontId="0" fillId="0" borderId="25" xfId="0" applyBorder="1" applyAlignment="1">
      <alignment horizontal="center"/>
    </xf>
    <xf numFmtId="0" fontId="0" fillId="0" borderId="0" xfId="0" applyBorder="1" applyAlignment="1">
      <alignment horizontal="center"/>
    </xf>
    <xf numFmtId="0" fontId="0" fillId="0" borderId="0" xfId="0" applyFill="1" applyAlignment="1">
      <alignment wrapText="1"/>
    </xf>
    <xf numFmtId="0" fontId="0" fillId="0" borderId="0" xfId="0" applyFill="1" applyAlignment="1">
      <alignment/>
    </xf>
    <xf numFmtId="9" fontId="0" fillId="0" borderId="0" xfId="0" applyNumberFormat="1" applyAlignment="1">
      <alignment horizontal="center"/>
    </xf>
    <xf numFmtId="0" fontId="2" fillId="0" borderId="0" xfId="20" applyAlignment="1">
      <alignment/>
    </xf>
    <xf numFmtId="0" fontId="1" fillId="2" borderId="13" xfId="0" applyFont="1" applyFill="1" applyBorder="1" applyAlignment="1">
      <alignment horizontal="center" wrapText="1"/>
    </xf>
    <xf numFmtId="0" fontId="1" fillId="2" borderId="26" xfId="0" applyFont="1" applyFill="1" applyBorder="1" applyAlignment="1">
      <alignment horizontal="center" wrapText="1"/>
    </xf>
    <xf numFmtId="0" fontId="1" fillId="2" borderId="2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1" fontId="0" fillId="0" borderId="0" xfId="0" applyNumberFormat="1" applyAlignment="1">
      <alignment horizontal="center"/>
    </xf>
    <xf numFmtId="1" fontId="0" fillId="0" borderId="0" xfId="0" applyNumberFormat="1" applyBorder="1" applyAlignment="1">
      <alignment horizontal="center"/>
    </xf>
    <xf numFmtId="1" fontId="1" fillId="0" borderId="0" xfId="0" applyNumberFormat="1" applyFont="1" applyAlignment="1">
      <alignment horizontal="center"/>
    </xf>
    <xf numFmtId="1" fontId="6" fillId="0" borderId="0" xfId="0" applyNumberFormat="1" applyFont="1" applyAlignment="1">
      <alignment horizontal="center"/>
    </xf>
    <xf numFmtId="9" fontId="1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173" fontId="1" fillId="2" borderId="13" xfId="0" applyNumberFormat="1" applyFont="1" applyFill="1" applyBorder="1" applyAlignment="1">
      <alignment horizontal="center" vertical="center" wrapText="1"/>
    </xf>
    <xf numFmtId="173" fontId="0" fillId="0" borderId="0" xfId="0" applyNumberFormat="1" applyAlignment="1">
      <alignment/>
    </xf>
    <xf numFmtId="0" fontId="11" fillId="2"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2" borderId="12" xfId="0" applyFont="1" applyFill="1" applyBorder="1" applyAlignment="1">
      <alignment horizontal="center" wrapText="1"/>
    </xf>
    <xf numFmtId="0" fontId="1" fillId="0" borderId="0" xfId="0" applyFont="1" applyAlignment="1">
      <alignment horizontal="center" wrapText="1"/>
    </xf>
    <xf numFmtId="9" fontId="0" fillId="0" borderId="0" xfId="0" applyNumberFormat="1" applyFont="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9" fontId="1" fillId="3" borderId="13" xfId="0" applyNumberFormat="1" applyFont="1" applyFill="1" applyBorder="1" applyAlignment="1">
      <alignment horizontal="center"/>
    </xf>
    <xf numFmtId="9" fontId="1" fillId="3" borderId="26" xfId="0" applyNumberFormat="1" applyFont="1" applyFill="1" applyBorder="1" applyAlignment="1">
      <alignment horizontal="center"/>
    </xf>
    <xf numFmtId="0" fontId="1" fillId="3" borderId="32" xfId="0" applyFont="1" applyFill="1" applyBorder="1" applyAlignment="1">
      <alignment horizontal="center"/>
    </xf>
    <xf numFmtId="9" fontId="1" fillId="0" borderId="0" xfId="0" applyNumberFormat="1" applyFont="1" applyFill="1" applyBorder="1" applyAlignment="1">
      <alignment horizontal="center"/>
    </xf>
    <xf numFmtId="0" fontId="1" fillId="0" borderId="33" xfId="0" applyFont="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4.emf" /><Relationship Id="rId7" Type="http://schemas.openxmlformats.org/officeDocument/2006/relationships/image" Target="../media/image3.emf" /><Relationship Id="rId8" Type="http://schemas.openxmlformats.org/officeDocument/2006/relationships/image" Target="../media/image2.emf" /><Relationship Id="rId9"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K1" sqref="K1"/>
    </sheetView>
  </sheetViews>
  <sheetFormatPr defaultColWidth="9.140625" defaultRowHeight="12.75"/>
  <cols>
    <col min="10" max="10" width="6.8515625" style="0" customWidth="1"/>
  </cols>
  <sheetData/>
  <printOptions/>
  <pageMargins left="0.75" right="0.75" top="1" bottom="1" header="0.5" footer="0.5"/>
  <pageSetup horizontalDpi="600" verticalDpi="600" orientation="portrait" r:id="rId11"/>
  <headerFooter alignWithMargins="0">
    <oddHeader>&amp;C&amp;"Georgia,Italic"&amp;14Effectiveness by the Numbers: Counting What Counts in the Church&amp;"Arial,Regular"&amp;10
&amp;12Metrics Manual</oddHeader>
    <oddFooter>&amp;L&amp;8From &amp;"Arial,Italic"Effectiveness by the Numbers&amp;"Arial,Regular" by William R. Hoyt. Copyright 2007 Abingdon Press. Reproduced by Permission.&amp;R&amp;8&amp;P of &amp;N</oddFooter>
  </headerFooter>
  <rowBreaks count="8" manualBreakCount="8">
    <brk id="45" max="255" man="1"/>
    <brk id="95" max="255" man="1"/>
    <brk id="136" max="255" man="1"/>
    <brk id="183" max="255" man="1"/>
    <brk id="228" max="255" man="1"/>
    <brk id="269" max="255" man="1"/>
    <brk id="319" max="255" man="1"/>
    <brk id="361" max="255" man="1"/>
  </rowBreaks>
  <legacyDrawing r:id="rId10"/>
  <oleObjects>
    <oleObject progId="Document" shapeId="11701542" r:id="rId1"/>
    <oleObject progId="Document" shapeId="11704528" r:id="rId2"/>
    <oleObject progId="Document" shapeId="11705821" r:id="rId3"/>
    <oleObject progId="Document" shapeId="11707386" r:id="rId4"/>
    <oleObject progId="Document" shapeId="11708906" r:id="rId5"/>
    <oleObject progId="Document" shapeId="11710448" r:id="rId6"/>
    <oleObject progId="Document" shapeId="11711750" r:id="rId7"/>
    <oleObject progId="Document" shapeId="11713085" r:id="rId8"/>
    <oleObject progId="Document" shapeId="11753365" r:id="rId9"/>
  </oleObjects>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A1" sqref="A1"/>
    </sheetView>
  </sheetViews>
  <sheetFormatPr defaultColWidth="9.140625" defaultRowHeight="12.75"/>
  <cols>
    <col min="1" max="1" width="12.421875" style="0" bestFit="1" customWidth="1"/>
    <col min="2" max="2" width="13.00390625" style="0" customWidth="1"/>
    <col min="3" max="3" width="12.421875" style="0" customWidth="1"/>
    <col min="4" max="4" width="13.57421875" style="0" customWidth="1"/>
    <col min="5" max="5" width="12.57421875" style="0" customWidth="1"/>
    <col min="6" max="6" width="13.140625" style="0" customWidth="1"/>
    <col min="7" max="7" width="12.57421875" style="0" customWidth="1"/>
    <col min="8" max="8" width="13.8515625" style="0" customWidth="1"/>
    <col min="9" max="9" width="12.8515625" style="0" customWidth="1"/>
    <col min="10" max="10" width="9.8515625" style="0" customWidth="1"/>
  </cols>
  <sheetData>
    <row r="1" spans="1:10" s="32" customFormat="1" ht="63.75">
      <c r="A1" s="36" t="s">
        <v>14</v>
      </c>
      <c r="B1" s="36" t="s">
        <v>145</v>
      </c>
      <c r="C1" s="36" t="s">
        <v>128</v>
      </c>
      <c r="D1" s="36" t="s">
        <v>144</v>
      </c>
      <c r="E1" s="36" t="s">
        <v>126</v>
      </c>
      <c r="F1" s="36" t="s">
        <v>125</v>
      </c>
      <c r="G1" s="36" t="s">
        <v>129</v>
      </c>
      <c r="H1" s="36" t="s">
        <v>127</v>
      </c>
      <c r="I1" s="36" t="s">
        <v>130</v>
      </c>
      <c r="J1" s="85"/>
    </row>
    <row r="2" spans="1:9" ht="31.5" customHeight="1">
      <c r="A2" s="39">
        <f>COUNTA('Ministry Involvement-Church'!$B:$B)-1</f>
        <v>7</v>
      </c>
      <c r="B2" s="40">
        <f>SUM('Ministry Involvement-Church'!$A:$A)</f>
        <v>3</v>
      </c>
      <c r="C2" s="41">
        <f>$B$2/$A$2</f>
        <v>0.42857142857142855</v>
      </c>
      <c r="D2" s="40">
        <f>SUM('Ministry Involvement-Community'!$A:$A)</f>
        <v>1</v>
      </c>
      <c r="E2" s="41">
        <f>$D$2/$A$2</f>
        <v>0.14285714285714285</v>
      </c>
      <c r="F2" s="40">
        <f>SUM('Ministry Involvement-World'!$A:$A)</f>
        <v>2</v>
      </c>
      <c r="G2" s="41">
        <f>$F$2/$A$2</f>
        <v>0.2857142857142857</v>
      </c>
      <c r="H2" s="40">
        <f>$B$2+$D$2+$F$2</f>
        <v>6</v>
      </c>
      <c r="I2" s="42">
        <f>$H$2/$A$2</f>
        <v>0.8571428571428571</v>
      </c>
    </row>
    <row r="3" ht="12.75">
      <c r="D3" s="1"/>
    </row>
    <row r="4" ht="12.75">
      <c r="D4" s="1"/>
    </row>
    <row r="6" ht="12.75">
      <c r="D6" s="1"/>
    </row>
  </sheetData>
  <printOptions/>
  <pageMargins left="0.75" right="0.75" top="1" bottom="1" header="0.5" footer="0.5"/>
  <pageSetup horizontalDpi="600" verticalDpi="600" orientation="landscape" r:id="rId3"/>
  <headerFooter alignWithMargins="0">
    <oddHeader>&amp;CUNPROOFED DRAFT--NOT FOR SALE OR DISTRIBUTION</oddHeader>
    <oddFooter>&amp;C&amp;8&amp;A &amp;P
From &amp;"Arial,Italic"Effectiveness by the Numbers &amp;"Arial,Regular"by William R. Hoyt Copyright 2007 by Abingdon Press. Reproduced by permission.</oddFooter>
  </headerFooter>
  <legacyDrawing r:id="rId2"/>
</worksheet>
</file>

<file path=xl/worksheets/sheet11.xml><?xml version="1.0" encoding="utf-8"?>
<worksheet xmlns="http://schemas.openxmlformats.org/spreadsheetml/2006/main" xmlns:r="http://schemas.openxmlformats.org/officeDocument/2006/relationships">
  <dimension ref="A1:N2"/>
  <sheetViews>
    <sheetView workbookViewId="0" topLeftCell="A1">
      <selection activeCell="A1" sqref="A1"/>
    </sheetView>
  </sheetViews>
  <sheetFormatPr defaultColWidth="9.140625" defaultRowHeight="12.75"/>
  <cols>
    <col min="1" max="1" width="20.57421875" style="0" customWidth="1"/>
    <col min="2" max="2" width="20.00390625" style="0" customWidth="1"/>
    <col min="3" max="3" width="9.7109375" style="88" bestFit="1" customWidth="1"/>
    <col min="4" max="4" width="8.140625" style="88" bestFit="1" customWidth="1"/>
    <col min="5" max="5" width="9.57421875" style="88" bestFit="1" customWidth="1"/>
    <col min="6" max="10" width="7.57421875" style="88" bestFit="1" customWidth="1"/>
    <col min="11" max="11" width="11.140625" style="0" customWidth="1"/>
    <col min="12" max="12" width="6.8515625" style="0" customWidth="1"/>
    <col min="14" max="14" width="7.00390625" style="0" customWidth="1"/>
  </cols>
  <sheetData>
    <row r="1" spans="1:13" s="46" customFormat="1" ht="33.75" customHeight="1" thickBot="1">
      <c r="A1" s="47" t="s">
        <v>0</v>
      </c>
      <c r="B1" s="48" t="s">
        <v>1</v>
      </c>
      <c r="C1" s="87" t="s">
        <v>34</v>
      </c>
      <c r="D1" s="87" t="s">
        <v>35</v>
      </c>
      <c r="E1" s="87" t="s">
        <v>36</v>
      </c>
      <c r="F1" s="87" t="s">
        <v>37</v>
      </c>
      <c r="G1" s="87" t="s">
        <v>38</v>
      </c>
      <c r="H1" s="87" t="s">
        <v>39</v>
      </c>
      <c r="I1" s="87" t="s">
        <v>40</v>
      </c>
      <c r="J1" s="87" t="s">
        <v>41</v>
      </c>
      <c r="K1" s="49" t="s">
        <v>146</v>
      </c>
      <c r="L1" s="89">
        <f>COUNTA(A2:A30)</f>
        <v>0</v>
      </c>
      <c r="M1" s="86"/>
    </row>
    <row r="2" spans="1:14" s="43" customFormat="1" ht="13.5" thickTop="1">
      <c r="A2"/>
      <c r="B2"/>
      <c r="C2" s="88"/>
      <c r="D2" s="88"/>
      <c r="E2" s="88"/>
      <c r="F2" s="88"/>
      <c r="G2" s="88"/>
      <c r="H2" s="88"/>
      <c r="I2" s="88"/>
      <c r="J2" s="88"/>
      <c r="K2" s="45"/>
      <c r="L2" s="45"/>
      <c r="M2" s="44"/>
      <c r="N2" s="46"/>
    </row>
    <row r="5" ht="12.75"/>
    <row r="6" ht="12.75"/>
    <row r="7" ht="12.75"/>
    <row r="8" ht="12.75"/>
    <row r="9" ht="12.75"/>
    <row r="10" ht="12.75"/>
    <row r="11" ht="12.75"/>
    <row r="12" ht="12.75"/>
    <row r="13" ht="12.75"/>
    <row r="14" ht="12.75"/>
    <row r="15" ht="12.75"/>
    <row r="16" ht="12.75"/>
    <row r="17" ht="12.75"/>
    <row r="18" ht="12.75"/>
    <row r="19" ht="12.75"/>
    <row r="20" ht="12.75"/>
    <row r="21" ht="12.75"/>
  </sheetData>
  <printOptions/>
  <pageMargins left="0.75" right="0.75" top="1" bottom="1" header="0.5" footer="0.5"/>
  <pageSetup horizontalDpi="300" verticalDpi="300" orientation="landscape" scale="99" r:id="rId3"/>
  <headerFooter alignWithMargins="0">
    <oddHeader>&amp;CUNPROOFED DRAFT--NOT FOR SALE OR DISTRIBUTION</oddHeader>
    <oddFooter>&amp;C&amp;8&amp;A &amp;P
From &amp;"Arial,Italic"Effectiveness by the Numbers&amp;"Arial,Regular" by William R. Hoyt Copyright 2007 by Abingdon Press. Reproduced by permission.</oddFooter>
  </headerFooter>
  <legacyDrawing r:id="rId2"/>
</worksheet>
</file>

<file path=xl/worksheets/sheet12.xml><?xml version="1.0" encoding="utf-8"?>
<worksheet xmlns="http://schemas.openxmlformats.org/spreadsheetml/2006/main" xmlns:r="http://schemas.openxmlformats.org/officeDocument/2006/relationships">
  <dimension ref="A1:F8"/>
  <sheetViews>
    <sheetView workbookViewId="0" topLeftCell="A1">
      <selection activeCell="A1" sqref="A1"/>
    </sheetView>
  </sheetViews>
  <sheetFormatPr defaultColWidth="9.140625" defaultRowHeight="12.75"/>
  <cols>
    <col min="1" max="1" width="21.7109375" style="0" customWidth="1"/>
    <col min="2" max="2" width="23.57421875" style="0" customWidth="1"/>
    <col min="3" max="3" width="16.00390625" style="10" customWidth="1"/>
  </cols>
  <sheetData>
    <row r="1" spans="1:6" ht="26.25" customHeight="1" thickBot="1">
      <c r="A1" s="51" t="s">
        <v>0</v>
      </c>
      <c r="B1" s="52" t="s">
        <v>1</v>
      </c>
      <c r="C1" s="53" t="s">
        <v>33</v>
      </c>
      <c r="D1" s="50">
        <f>SUM(C:C)/(COUNTA(A:A)-1)</f>
        <v>0.7142857142857143</v>
      </c>
      <c r="F1" s="46"/>
    </row>
    <row r="2" spans="1:3" ht="13.5" thickTop="1">
      <c r="A2" s="22" t="s">
        <v>46</v>
      </c>
      <c r="B2" s="22" t="s">
        <v>47</v>
      </c>
      <c r="C2" s="10">
        <v>1</v>
      </c>
    </row>
    <row r="3" spans="1:3" ht="12.75">
      <c r="A3" s="22" t="s">
        <v>46</v>
      </c>
      <c r="B3" s="22" t="s">
        <v>48</v>
      </c>
      <c r="C3" s="10">
        <v>1</v>
      </c>
    </row>
    <row r="4" spans="1:2" ht="12.75">
      <c r="A4" s="22" t="s">
        <v>49</v>
      </c>
      <c r="B4" s="22" t="s">
        <v>50</v>
      </c>
    </row>
    <row r="5" spans="1:3" ht="12.75">
      <c r="A5" s="22" t="s">
        <v>51</v>
      </c>
      <c r="B5" s="22" t="s">
        <v>52</v>
      </c>
      <c r="C5" s="10">
        <v>1</v>
      </c>
    </row>
    <row r="6" spans="1:3" ht="12.75">
      <c r="A6" s="22" t="s">
        <v>51</v>
      </c>
      <c r="B6" s="22" t="s">
        <v>53</v>
      </c>
      <c r="C6" s="10">
        <v>1</v>
      </c>
    </row>
    <row r="7" spans="1:2" ht="12.75">
      <c r="A7" s="22" t="s">
        <v>54</v>
      </c>
      <c r="B7" s="22" t="s">
        <v>55</v>
      </c>
    </row>
    <row r="8" spans="1:3" ht="12.75">
      <c r="A8" s="22" t="s">
        <v>56</v>
      </c>
      <c r="B8" s="22" t="s">
        <v>57</v>
      </c>
      <c r="C8" s="10">
        <v>1</v>
      </c>
    </row>
    <row r="10" ht="12.75"/>
    <row r="11" ht="12.75"/>
    <row r="12" ht="12.75"/>
    <row r="13" ht="12.75"/>
    <row r="14" ht="12.75"/>
    <row r="15" ht="12.75"/>
    <row r="16" ht="12.75"/>
    <row r="17" ht="12.75"/>
    <row r="18" ht="12.75"/>
    <row r="19" ht="12.75"/>
    <row r="20" ht="12.75"/>
    <row r="21" ht="12.75"/>
    <row r="22" ht="12.75"/>
    <row r="23" ht="12.75"/>
  </sheetData>
  <printOptions/>
  <pageMargins left="0.75" right="0.75" top="1" bottom="1" header="0.5" footer="0.5"/>
  <pageSetup horizontalDpi="300" verticalDpi="300" orientation="portrait" r:id="rId3"/>
  <headerFooter alignWithMargins="0">
    <oddHeader>&amp;CUNPROOFED DRAFT--NOT FOR SALE OR DISTRIBUTION</oddHeader>
    <oddFooter>&amp;C&amp;8&amp;A &amp;P
From &amp;"Arial,Italic"Effectiveness by the Numbers &amp;"Arial,Regular"by William R. Hoyt Copyright 2007 by Abingdon Press. Reproduced by permission.</oddFooter>
  </headerFooter>
  <legacyDrawing r:id="rId2"/>
</worksheet>
</file>

<file path=xl/worksheets/sheet13.xml><?xml version="1.0" encoding="utf-8"?>
<worksheet xmlns="http://schemas.openxmlformats.org/spreadsheetml/2006/main" xmlns:r="http://schemas.openxmlformats.org/officeDocument/2006/relationships">
  <dimension ref="A1:K7"/>
  <sheetViews>
    <sheetView workbookViewId="0" topLeftCell="A1">
      <selection activeCell="A1" sqref="A1"/>
    </sheetView>
  </sheetViews>
  <sheetFormatPr defaultColWidth="9.140625" defaultRowHeight="12.75"/>
  <cols>
    <col min="1" max="1" width="21.8515625" style="0" bestFit="1" customWidth="1"/>
    <col min="2" max="2" width="10.7109375" style="0" bestFit="1" customWidth="1"/>
    <col min="3" max="3" width="11.28125" style="59" bestFit="1" customWidth="1"/>
    <col min="4" max="4" width="7.8515625" style="10" customWidth="1"/>
    <col min="5" max="5" width="11.00390625" style="60" bestFit="1" customWidth="1"/>
    <col min="6" max="6" width="7.28125" style="67" customWidth="1"/>
    <col min="7" max="7" width="11.00390625" style="60" bestFit="1" customWidth="1"/>
    <col min="8" max="8" width="7.140625" style="67" customWidth="1"/>
    <col min="9" max="9" width="11.00390625" style="60" bestFit="1" customWidth="1"/>
    <col min="10" max="10" width="6.8515625" style="65" customWidth="1"/>
    <col min="11" max="11" width="11.00390625" style="60" bestFit="1" customWidth="1"/>
  </cols>
  <sheetData>
    <row r="1" spans="1:11" ht="39" thickBot="1">
      <c r="A1" s="11" t="s">
        <v>131</v>
      </c>
      <c r="B1" s="3" t="s">
        <v>1</v>
      </c>
      <c r="C1" s="54" t="s">
        <v>42</v>
      </c>
      <c r="D1" s="3">
        <v>2007</v>
      </c>
      <c r="E1" s="61" t="s">
        <v>117</v>
      </c>
      <c r="F1" s="3">
        <v>2008</v>
      </c>
      <c r="G1" s="62" t="s">
        <v>117</v>
      </c>
      <c r="H1" s="3">
        <v>2009</v>
      </c>
      <c r="I1" s="62" t="s">
        <v>117</v>
      </c>
      <c r="J1" s="63">
        <v>2010</v>
      </c>
      <c r="K1" s="62" t="s">
        <v>117</v>
      </c>
    </row>
    <row r="2" spans="1:11" ht="13.5" thickTop="1">
      <c r="A2" s="22" t="s">
        <v>46</v>
      </c>
      <c r="B2" s="22" t="s">
        <v>47</v>
      </c>
      <c r="C2" s="59" t="s">
        <v>48</v>
      </c>
      <c r="D2" s="10" t="s">
        <v>132</v>
      </c>
      <c r="E2" s="55" t="s">
        <v>135</v>
      </c>
      <c r="F2" s="66"/>
      <c r="G2" s="55" t="s">
        <v>135</v>
      </c>
      <c r="H2" s="66"/>
      <c r="I2" s="55" t="s">
        <v>135</v>
      </c>
      <c r="J2" s="64"/>
      <c r="K2" s="55" t="s">
        <v>135</v>
      </c>
    </row>
    <row r="3" spans="1:11" ht="13.5" thickBot="1">
      <c r="A3" s="22" t="s">
        <v>49</v>
      </c>
      <c r="B3" s="22" t="s">
        <v>50</v>
      </c>
      <c r="D3" s="10" t="s">
        <v>133</v>
      </c>
      <c r="E3" s="56">
        <f>COUNTIF(D:D,"L")+COUNTIF(D:D,"B")</f>
        <v>2</v>
      </c>
      <c r="G3" s="56">
        <f>COUNTIF(F:F,"L")+COUNTIF(F:F,"B")</f>
        <v>0</v>
      </c>
      <c r="I3" s="56">
        <f>COUNTIF(H:H,"L")+COUNTIF(H:H,"B")</f>
        <v>0</v>
      </c>
      <c r="K3" s="56">
        <f>COUNTIF(J:J,"L")+COUNTIF(J:J,"B")</f>
        <v>0</v>
      </c>
    </row>
    <row r="4" spans="1:11" ht="13.5" thickTop="1">
      <c r="A4" s="22" t="s">
        <v>51</v>
      </c>
      <c r="B4" s="22" t="s">
        <v>52</v>
      </c>
      <c r="C4" s="59" t="s">
        <v>53</v>
      </c>
      <c r="D4" s="10" t="s">
        <v>134</v>
      </c>
      <c r="E4" s="57" t="s">
        <v>136</v>
      </c>
      <c r="G4" s="57" t="s">
        <v>136</v>
      </c>
      <c r="I4" s="57" t="s">
        <v>136</v>
      </c>
      <c r="K4" s="57" t="s">
        <v>136</v>
      </c>
    </row>
    <row r="5" spans="1:11" ht="13.5" thickBot="1">
      <c r="A5" s="22" t="s">
        <v>54</v>
      </c>
      <c r="B5" s="22" t="s">
        <v>55</v>
      </c>
      <c r="E5" s="56">
        <f>COUNTIF(D:D,"C")+COUNTIF(D:D,"B")</f>
        <v>3</v>
      </c>
      <c r="G5" s="56">
        <f>COUNTIF(F:F,"C")+COUNTIF(F:F,"B")</f>
        <v>0</v>
      </c>
      <c r="I5" s="56">
        <f>COUNTIF(H:H,"C")+COUNTIF(H:H,"B")</f>
        <v>0</v>
      </c>
      <c r="K5" s="56">
        <f>COUNTIF(J:J,"C")+COUNTIF(J:J,"B")</f>
        <v>0</v>
      </c>
    </row>
    <row r="6" spans="1:11" ht="13.5" thickTop="1">
      <c r="A6" s="22" t="s">
        <v>56</v>
      </c>
      <c r="B6" s="22" t="s">
        <v>57</v>
      </c>
      <c r="D6" s="10" t="s">
        <v>133</v>
      </c>
      <c r="E6" s="57" t="s">
        <v>137</v>
      </c>
      <c r="G6" s="57" t="s">
        <v>137</v>
      </c>
      <c r="I6" s="57" t="s">
        <v>137</v>
      </c>
      <c r="K6" s="57" t="s">
        <v>137</v>
      </c>
    </row>
    <row r="7" spans="5:11" ht="12.75">
      <c r="E7" s="58">
        <f>COUNTIF(D:D,"B")</f>
        <v>1</v>
      </c>
      <c r="G7" s="58">
        <f>COUNTIF(F:F,"B")</f>
        <v>0</v>
      </c>
      <c r="I7" s="58">
        <f>COUNTIF(H:H,"B")</f>
        <v>0</v>
      </c>
      <c r="K7" s="58">
        <f>COUNTIF(J:J,"B")</f>
        <v>0</v>
      </c>
    </row>
    <row r="9" ht="12.75"/>
    <row r="10" ht="12.75"/>
    <row r="11" ht="12.75"/>
    <row r="12" ht="12.75"/>
    <row r="13" ht="12.75"/>
    <row r="14" ht="12.75"/>
    <row r="15" ht="12.75"/>
    <row r="16" ht="12.75"/>
    <row r="17" ht="12.75"/>
    <row r="18" ht="12.75"/>
    <row r="19" ht="12.75"/>
    <row r="20" ht="12.75"/>
    <row r="21" ht="12.75"/>
    <row r="22" ht="12.75"/>
    <row r="23" ht="12.75"/>
    <row r="24" ht="12.75"/>
    <row r="25" ht="12.75"/>
  </sheetData>
  <printOptions/>
  <pageMargins left="0.75" right="0.75" top="1" bottom="1" header="0.5" footer="0.5"/>
  <pageSetup horizontalDpi="600" verticalDpi="600" orientation="landscape" r:id="rId3"/>
  <headerFooter alignWithMargins="0">
    <oddHeader>&amp;CUNPROOFED DRAFT--NOT FOR SALE OR DISTRIBUTION</oddHeader>
    <oddFooter>&amp;C&amp;8&amp;A &amp;P
From &amp;"Arial,Italic"Effectiveness by the Numbers &amp;"Arial,Regular"by William R. Hoyt Copyright 2007 by Abingdon Press. Reproduced by permission.</oddFooter>
  </headerFooter>
  <legacyDrawing r:id="rId2"/>
</worksheet>
</file>

<file path=xl/worksheets/sheet14.xml><?xml version="1.0" encoding="utf-8"?>
<worksheet xmlns="http://schemas.openxmlformats.org/spreadsheetml/2006/main" xmlns:r="http://schemas.openxmlformats.org/officeDocument/2006/relationships">
  <dimension ref="A1:I14"/>
  <sheetViews>
    <sheetView workbookViewId="0" topLeftCell="A1">
      <selection activeCell="A1" sqref="A1"/>
    </sheetView>
  </sheetViews>
  <sheetFormatPr defaultColWidth="9.140625" defaultRowHeight="12.75"/>
  <cols>
    <col min="2" max="2" width="14.57421875" style="0" customWidth="1"/>
    <col min="3" max="3" width="18.421875" style="0" customWidth="1"/>
    <col min="4" max="4" width="11.421875" style="0" bestFit="1" customWidth="1"/>
    <col min="5" max="5" width="12.57421875" style="0" bestFit="1" customWidth="1"/>
    <col min="6" max="6" width="11.140625" style="0" bestFit="1" customWidth="1"/>
    <col min="7" max="7" width="33.28125" style="0" customWidth="1"/>
    <col min="8" max="8" width="7.140625" style="0" customWidth="1"/>
  </cols>
  <sheetData>
    <row r="1" spans="1:9" s="69" customFormat="1" ht="64.5" thickBot="1">
      <c r="A1" s="47" t="s">
        <v>26</v>
      </c>
      <c r="B1" s="48" t="s">
        <v>43</v>
      </c>
      <c r="C1" s="48" t="s">
        <v>138</v>
      </c>
      <c r="D1" s="48" t="s">
        <v>139</v>
      </c>
      <c r="E1" s="48" t="s">
        <v>140</v>
      </c>
      <c r="F1" s="48" t="s">
        <v>44</v>
      </c>
      <c r="G1" s="49" t="s">
        <v>147</v>
      </c>
      <c r="H1" s="90"/>
      <c r="I1" s="68"/>
    </row>
    <row r="2" spans="1:6" ht="13.5" thickTop="1">
      <c r="A2" t="s">
        <v>45</v>
      </c>
      <c r="B2" s="12">
        <v>64525</v>
      </c>
      <c r="C2" s="10">
        <v>120</v>
      </c>
      <c r="D2" s="12">
        <f>B2*C2</f>
        <v>7743000</v>
      </c>
      <c r="E2" s="12">
        <v>305500</v>
      </c>
      <c r="F2" s="13">
        <f>(E2/D2)</f>
        <v>0.039454991605320934</v>
      </c>
    </row>
    <row r="3" spans="1:6" ht="12.75">
      <c r="A3">
        <v>2007</v>
      </c>
      <c r="B3" s="12"/>
      <c r="C3" s="10"/>
      <c r="D3" s="12">
        <f>B3*C3</f>
        <v>0</v>
      </c>
      <c r="E3" s="12"/>
      <c r="F3" s="13" t="e">
        <f>(E3/D3)/10</f>
        <v>#DIV/0!</v>
      </c>
    </row>
    <row r="4" spans="1:6" ht="12.75">
      <c r="A4">
        <v>2008</v>
      </c>
      <c r="B4" s="12"/>
      <c r="C4" s="10"/>
      <c r="D4" s="12">
        <f>B4*C4</f>
        <v>0</v>
      </c>
      <c r="E4" s="12"/>
      <c r="F4" s="13" t="e">
        <f>(E4/D4)/10</f>
        <v>#DIV/0!</v>
      </c>
    </row>
    <row r="5" spans="1:6" ht="12.75">
      <c r="A5">
        <v>2009</v>
      </c>
      <c r="B5" s="12"/>
      <c r="C5" s="10"/>
      <c r="D5" s="12">
        <f>B5*C5</f>
        <v>0</v>
      </c>
      <c r="E5" s="12"/>
      <c r="F5" s="13" t="e">
        <f>(E5/D5)/10</f>
        <v>#DIV/0!</v>
      </c>
    </row>
    <row r="6" spans="1:6" ht="12.75">
      <c r="A6">
        <v>2010</v>
      </c>
      <c r="B6" s="12"/>
      <c r="C6" s="10"/>
      <c r="D6" s="12">
        <f>B6*C6</f>
        <v>0</v>
      </c>
      <c r="E6" s="70"/>
      <c r="F6" s="13" t="e">
        <f>(E6/D6)/10</f>
        <v>#DIV/0!</v>
      </c>
    </row>
    <row r="9" ht="15.75">
      <c r="A9" s="15"/>
    </row>
    <row r="10" ht="15.75">
      <c r="B10" s="15"/>
    </row>
    <row r="11" ht="12.75">
      <c r="B11" s="71"/>
    </row>
    <row r="14" ht="12.75">
      <c r="A14" s="71"/>
    </row>
  </sheetData>
  <printOptions/>
  <pageMargins left="0.75" right="0.75" top="1" bottom="1" header="0.5" footer="0.5"/>
  <pageSetup horizontalDpi="300" verticalDpi="300" orientation="landscape" r:id="rId3"/>
  <headerFooter alignWithMargins="0">
    <oddHeader>&amp;CUNPROOFED DRAFT--NOT FOR SALE OR DISTRIBUTION</oddHeader>
    <oddFooter>&amp;C&amp;8&amp;A &amp;P
From &amp;"Arial,Italic"Effectiveness by the Numbers &amp;"Arial,Regular"by William R. Hoyt Copyright 2007 by Abingdon Press. Reproduced by permission.</oddFooter>
  </headerFooter>
  <legacyDrawing r:id="rId2"/>
</worksheet>
</file>

<file path=xl/worksheets/sheet2.xml><?xml version="1.0" encoding="utf-8"?>
<worksheet xmlns="http://schemas.openxmlformats.org/spreadsheetml/2006/main" xmlns:r="http://schemas.openxmlformats.org/officeDocument/2006/relationships">
  <dimension ref="A1:I18"/>
  <sheetViews>
    <sheetView workbookViewId="0" topLeftCell="D1">
      <selection activeCell="D1" sqref="D1"/>
    </sheetView>
  </sheetViews>
  <sheetFormatPr defaultColWidth="9.140625" defaultRowHeight="12.75"/>
  <cols>
    <col min="1" max="1" width="5.57421875" style="0" customWidth="1"/>
    <col min="2" max="2" width="10.421875" style="0" bestFit="1" customWidth="1"/>
    <col min="3" max="3" width="13.7109375" style="0" bestFit="1" customWidth="1"/>
    <col min="4" max="4" width="12.28125" style="0" customWidth="1"/>
    <col min="5" max="5" width="10.140625" style="0" bestFit="1" customWidth="1"/>
    <col min="6" max="6" width="10.8515625" style="0" customWidth="1"/>
    <col min="7" max="7" width="11.140625" style="0" bestFit="1" customWidth="1"/>
    <col min="8" max="8" width="13.28125" style="0" customWidth="1"/>
    <col min="9" max="9" width="13.421875" style="0" customWidth="1"/>
    <col min="10" max="11" width="11.28125" style="0" bestFit="1" customWidth="1"/>
  </cols>
  <sheetData>
    <row r="1" spans="1:9" s="9" customFormat="1" ht="64.5" thickBot="1">
      <c r="A1" s="47" t="s">
        <v>26</v>
      </c>
      <c r="B1" s="48" t="s">
        <v>58</v>
      </c>
      <c r="C1" s="48" t="s">
        <v>63</v>
      </c>
      <c r="D1" s="48" t="s">
        <v>59</v>
      </c>
      <c r="E1" s="48" t="s">
        <v>60</v>
      </c>
      <c r="F1" s="48" t="s">
        <v>61</v>
      </c>
      <c r="G1" s="74" t="s">
        <v>62</v>
      </c>
      <c r="I1" s="22"/>
    </row>
    <row r="2" spans="1:7" s="16" customFormat="1" ht="13.5" thickTop="1">
      <c r="A2" s="16">
        <v>2007</v>
      </c>
      <c r="B2" s="17">
        <v>7</v>
      </c>
      <c r="C2" s="17">
        <v>12</v>
      </c>
      <c r="D2" s="17">
        <v>665</v>
      </c>
      <c r="E2" s="18">
        <v>1486000</v>
      </c>
      <c r="F2" s="17">
        <f>D2/(B2+C2)</f>
        <v>35</v>
      </c>
      <c r="G2" s="18">
        <f>E2/B2+C2</f>
        <v>212297.7142857143</v>
      </c>
    </row>
    <row r="3" spans="1:7" s="16" customFormat="1" ht="12.75">
      <c r="A3" s="16">
        <v>2008</v>
      </c>
      <c r="B3" s="17">
        <v>12</v>
      </c>
      <c r="C3" s="17">
        <v>16</v>
      </c>
      <c r="D3" s="17">
        <v>940</v>
      </c>
      <c r="E3" s="18">
        <v>1526000</v>
      </c>
      <c r="F3" s="17">
        <f>D3/(B3+C3)</f>
        <v>33.57142857142857</v>
      </c>
      <c r="G3" s="18">
        <f>E3/B3+C3</f>
        <v>127182.66666666667</v>
      </c>
    </row>
    <row r="4" spans="1:7" s="16" customFormat="1" ht="12.75">
      <c r="A4" s="16">
        <v>2009</v>
      </c>
      <c r="B4" s="17">
        <v>22</v>
      </c>
      <c r="C4" s="17">
        <v>35</v>
      </c>
      <c r="D4" s="17">
        <v>1362</v>
      </c>
      <c r="E4" s="18">
        <v>2625000</v>
      </c>
      <c r="F4" s="17">
        <f>D4/(B4+C4)</f>
        <v>23.894736842105264</v>
      </c>
      <c r="G4" s="18">
        <f>E4/B4+C4</f>
        <v>119353.18181818182</v>
      </c>
    </row>
    <row r="5" spans="2:7" s="16" customFormat="1" ht="12.75">
      <c r="B5" s="17"/>
      <c r="C5" s="17"/>
      <c r="D5" s="17"/>
      <c r="E5" s="18"/>
      <c r="F5" s="17"/>
      <c r="G5" s="18"/>
    </row>
    <row r="6" spans="2:7" s="16" customFormat="1" ht="12.75">
      <c r="B6" s="17"/>
      <c r="C6" s="17"/>
      <c r="D6" s="17"/>
      <c r="E6" s="18"/>
      <c r="F6" s="17"/>
      <c r="G6" s="18"/>
    </row>
    <row r="16" ht="15.75">
      <c r="A16" s="15"/>
    </row>
    <row r="17" ht="15.75">
      <c r="B17" s="15"/>
    </row>
    <row r="18" ht="15.75">
      <c r="B18" s="15"/>
    </row>
  </sheetData>
  <printOptions/>
  <pageMargins left="0.75" right="0.75" top="1" bottom="1" header="0.5" footer="0.5"/>
  <pageSetup horizontalDpi="300" verticalDpi="300" orientation="portrait" r:id="rId3"/>
  <headerFooter alignWithMargins="0">
    <oddHeader>&amp;CUNPROOFED DRAFT--NOT FOR SALE OR DISTRIBUTION</oddHeader>
    <oddFooter>&amp;C&amp;8&amp;A &amp;P
From &amp;"Arial,Italic"Effectiveness by the Numbers &amp;"Arial,Regular"by William R. Hoyt Copyright 2007 by Abingdon Press. Reproduced by permission.</oddFooter>
  </headerFooter>
  <legacyDrawing r:id="rId2"/>
</worksheet>
</file>

<file path=xl/worksheets/sheet3.xml><?xml version="1.0" encoding="utf-8"?>
<worksheet xmlns="http://schemas.openxmlformats.org/spreadsheetml/2006/main" xmlns:r="http://schemas.openxmlformats.org/officeDocument/2006/relationships">
  <dimension ref="A1:AC55"/>
  <sheetViews>
    <sheetView workbookViewId="0" topLeftCell="A1">
      <selection activeCell="A1" sqref="A1:D1"/>
    </sheetView>
  </sheetViews>
  <sheetFormatPr defaultColWidth="9.140625" defaultRowHeight="12.75"/>
  <cols>
    <col min="1" max="1" width="6.140625" style="10" bestFit="1" customWidth="1"/>
    <col min="2" max="2" width="11.28125" style="10" bestFit="1" customWidth="1"/>
    <col min="3" max="4" width="10.7109375" style="10" customWidth="1"/>
    <col min="5" max="7" width="9.140625" style="10" customWidth="1"/>
    <col min="8" max="8" width="6.140625" style="10" bestFit="1" customWidth="1"/>
    <col min="9" max="9" width="11.28125" style="10" bestFit="1" customWidth="1"/>
    <col min="10" max="11" width="10.7109375" style="10" customWidth="1"/>
    <col min="12" max="13" width="9.140625" style="10" customWidth="1"/>
    <col min="14" max="14" width="6.140625" style="10" bestFit="1" customWidth="1"/>
    <col min="15" max="15" width="11.28125" style="10" bestFit="1" customWidth="1"/>
    <col min="16" max="17" width="10.7109375" style="10" customWidth="1"/>
    <col min="18" max="19" width="9.140625" style="10" customWidth="1"/>
    <col min="20" max="20" width="6.140625" style="10" bestFit="1" customWidth="1"/>
    <col min="21" max="21" width="11.28125" style="10" bestFit="1" customWidth="1"/>
    <col min="22" max="24" width="10.7109375" style="10" customWidth="1"/>
    <col min="25" max="25" width="9.140625" style="10" customWidth="1"/>
    <col min="26" max="26" width="6.140625" style="10" bestFit="1" customWidth="1"/>
    <col min="27" max="27" width="11.28125" style="10" bestFit="1" customWidth="1"/>
    <col min="28" max="29" width="10.7109375" style="10" customWidth="1"/>
  </cols>
  <sheetData>
    <row r="1" spans="1:29" s="45" customFormat="1" ht="12.75">
      <c r="A1" s="100" t="s">
        <v>15</v>
      </c>
      <c r="B1" s="100"/>
      <c r="C1" s="100"/>
      <c r="D1" s="100"/>
      <c r="E1" s="2"/>
      <c r="F1" s="2"/>
      <c r="G1" s="67"/>
      <c r="H1" s="100">
        <v>2007</v>
      </c>
      <c r="I1" s="100"/>
      <c r="J1" s="100"/>
      <c r="K1" s="100"/>
      <c r="L1" s="2"/>
      <c r="M1" s="2"/>
      <c r="N1" s="100">
        <v>2008</v>
      </c>
      <c r="O1" s="100"/>
      <c r="P1" s="100"/>
      <c r="Q1" s="100"/>
      <c r="R1" s="67"/>
      <c r="S1" s="67"/>
      <c r="T1" s="100">
        <v>2009</v>
      </c>
      <c r="U1" s="100"/>
      <c r="V1" s="100"/>
      <c r="W1" s="100"/>
      <c r="X1" s="2"/>
      <c r="Y1" s="67"/>
      <c r="Z1" s="100">
        <v>2010</v>
      </c>
      <c r="AA1" s="100"/>
      <c r="AB1" s="100"/>
      <c r="AC1" s="100"/>
    </row>
    <row r="2" spans="1:29" ht="39" thickBot="1">
      <c r="A2" s="77" t="s">
        <v>16</v>
      </c>
      <c r="B2" s="78" t="s">
        <v>141</v>
      </c>
      <c r="C2" s="78" t="s">
        <v>142</v>
      </c>
      <c r="D2" s="79" t="s">
        <v>143</v>
      </c>
      <c r="E2" s="75"/>
      <c r="F2" s="75"/>
      <c r="G2" s="46"/>
      <c r="H2" s="77" t="s">
        <v>16</v>
      </c>
      <c r="I2" s="78" t="s">
        <v>141</v>
      </c>
      <c r="J2" s="78" t="s">
        <v>142</v>
      </c>
      <c r="K2" s="79" t="s">
        <v>143</v>
      </c>
      <c r="L2" s="76"/>
      <c r="M2" s="76"/>
      <c r="N2" s="77" t="s">
        <v>16</v>
      </c>
      <c r="O2" s="78" t="s">
        <v>141</v>
      </c>
      <c r="P2" s="78" t="s">
        <v>142</v>
      </c>
      <c r="Q2" s="79" t="s">
        <v>143</v>
      </c>
      <c r="R2" s="46"/>
      <c r="S2" s="46"/>
      <c r="T2" s="77" t="s">
        <v>16</v>
      </c>
      <c r="U2" s="78" t="s">
        <v>141</v>
      </c>
      <c r="V2" s="78" t="s">
        <v>142</v>
      </c>
      <c r="W2" s="79" t="s">
        <v>143</v>
      </c>
      <c r="X2" s="75"/>
      <c r="Y2" s="46"/>
      <c r="Z2" s="77" t="s">
        <v>16</v>
      </c>
      <c r="AA2" s="78" t="s">
        <v>141</v>
      </c>
      <c r="AB2" s="78" t="s">
        <v>142</v>
      </c>
      <c r="AC2" s="79" t="s">
        <v>143</v>
      </c>
    </row>
    <row r="3" spans="1:29" ht="13.5" thickTop="1">
      <c r="A3" s="10">
        <v>1</v>
      </c>
      <c r="B3" s="80">
        <v>212</v>
      </c>
      <c r="C3" s="80">
        <f>B3</f>
        <v>212</v>
      </c>
      <c r="D3" s="80">
        <f>C3/1</f>
        <v>212</v>
      </c>
      <c r="E3" s="80"/>
      <c r="F3" s="80"/>
      <c r="H3" s="10">
        <v>1</v>
      </c>
      <c r="I3" s="80"/>
      <c r="J3" s="80">
        <f>I3</f>
        <v>0</v>
      </c>
      <c r="K3" s="80">
        <f>J3/1</f>
        <v>0</v>
      </c>
      <c r="L3" s="81"/>
      <c r="M3" s="81"/>
      <c r="N3" s="10">
        <v>1</v>
      </c>
      <c r="O3" s="80"/>
      <c r="P3" s="80">
        <f>O3</f>
        <v>0</v>
      </c>
      <c r="Q3" s="80">
        <f>P3/1</f>
        <v>0</v>
      </c>
      <c r="T3" s="10">
        <v>1</v>
      </c>
      <c r="U3" s="80"/>
      <c r="V3" s="80">
        <f>U3</f>
        <v>0</v>
      </c>
      <c r="W3" s="80">
        <f>V3/1</f>
        <v>0</v>
      </c>
      <c r="X3" s="80"/>
      <c r="Z3" s="10">
        <v>1</v>
      </c>
      <c r="AA3" s="80"/>
      <c r="AB3" s="80">
        <f>AA3</f>
        <v>0</v>
      </c>
      <c r="AC3" s="80">
        <f>AB3/1</f>
        <v>0</v>
      </c>
    </row>
    <row r="4" spans="1:29" ht="12.75">
      <c r="A4" s="10">
        <v>2</v>
      </c>
      <c r="B4" s="80">
        <v>234</v>
      </c>
      <c r="C4" s="80">
        <f>SUM(B3:B4)</f>
        <v>446</v>
      </c>
      <c r="D4" s="80">
        <f>C4/2</f>
        <v>223</v>
      </c>
      <c r="E4" s="80"/>
      <c r="F4" s="80"/>
      <c r="H4" s="10">
        <v>2</v>
      </c>
      <c r="I4" s="80"/>
      <c r="J4" s="80">
        <f>SUM(I3:I4)</f>
        <v>0</v>
      </c>
      <c r="K4" s="80">
        <f>J4/2</f>
        <v>0</v>
      </c>
      <c r="L4" s="80"/>
      <c r="M4" s="80"/>
      <c r="N4" s="10">
        <v>2</v>
      </c>
      <c r="O4" s="80"/>
      <c r="P4" s="80">
        <f>SUM(O3:O4)</f>
        <v>0</v>
      </c>
      <c r="Q4" s="80">
        <f>P4/2</f>
        <v>0</v>
      </c>
      <c r="T4" s="10">
        <v>2</v>
      </c>
      <c r="U4" s="80"/>
      <c r="V4" s="80">
        <f>SUM(U3:U4)</f>
        <v>0</v>
      </c>
      <c r="W4" s="80">
        <f>V4/2</f>
        <v>0</v>
      </c>
      <c r="X4" s="80"/>
      <c r="Z4" s="10">
        <v>2</v>
      </c>
      <c r="AA4" s="80"/>
      <c r="AB4" s="80">
        <f>SUM(AA3:AA4)</f>
        <v>0</v>
      </c>
      <c r="AC4" s="80">
        <f>AB4/2</f>
        <v>0</v>
      </c>
    </row>
    <row r="5" spans="1:29" ht="12.75">
      <c r="A5" s="10">
        <v>3</v>
      </c>
      <c r="B5" s="80">
        <v>334</v>
      </c>
      <c r="C5" s="80">
        <f>SUM(B3:B5)</f>
        <v>780</v>
      </c>
      <c r="D5" s="80">
        <f>C5/3</f>
        <v>260</v>
      </c>
      <c r="E5" s="80"/>
      <c r="F5" s="80"/>
      <c r="H5" s="10">
        <v>3</v>
      </c>
      <c r="I5" s="80"/>
      <c r="J5" s="80">
        <f>SUM(I3:I5)</f>
        <v>0</v>
      </c>
      <c r="K5" s="80">
        <f>J5/3</f>
        <v>0</v>
      </c>
      <c r="L5" s="80"/>
      <c r="M5" s="80"/>
      <c r="N5" s="10">
        <v>3</v>
      </c>
      <c r="O5" s="80"/>
      <c r="P5" s="80">
        <f>SUM(O3:O5)</f>
        <v>0</v>
      </c>
      <c r="Q5" s="80">
        <f>P5/3</f>
        <v>0</v>
      </c>
      <c r="T5" s="10">
        <v>3</v>
      </c>
      <c r="U5" s="80"/>
      <c r="V5" s="80">
        <f>SUM(U3:U5)</f>
        <v>0</v>
      </c>
      <c r="W5" s="80">
        <f>V5/3</f>
        <v>0</v>
      </c>
      <c r="X5" s="80"/>
      <c r="Z5" s="10">
        <v>3</v>
      </c>
      <c r="AA5" s="80"/>
      <c r="AB5" s="80">
        <f>SUM(AA3:AA5)</f>
        <v>0</v>
      </c>
      <c r="AC5" s="80">
        <f>AB5/3</f>
        <v>0</v>
      </c>
    </row>
    <row r="6" spans="1:29" ht="12.75">
      <c r="A6" s="10">
        <v>4</v>
      </c>
      <c r="B6" s="80">
        <v>254</v>
      </c>
      <c r="C6" s="80">
        <f>SUM(B3:B6)</f>
        <v>1034</v>
      </c>
      <c r="D6" s="80">
        <f>C6/4</f>
        <v>258.5</v>
      </c>
      <c r="E6" s="80"/>
      <c r="F6" s="80"/>
      <c r="H6" s="10">
        <v>4</v>
      </c>
      <c r="I6" s="80"/>
      <c r="J6" s="80">
        <f>SUM(I3:I6)</f>
        <v>0</v>
      </c>
      <c r="K6" s="80">
        <f>J6/4</f>
        <v>0</v>
      </c>
      <c r="L6" s="80"/>
      <c r="M6" s="80"/>
      <c r="N6" s="10">
        <v>4</v>
      </c>
      <c r="O6" s="80"/>
      <c r="P6" s="80">
        <f>SUM(O3:O6)</f>
        <v>0</v>
      </c>
      <c r="Q6" s="80">
        <f>P6/4</f>
        <v>0</v>
      </c>
      <c r="T6" s="10">
        <v>4</v>
      </c>
      <c r="U6" s="80"/>
      <c r="V6" s="80">
        <f>SUM(U3:U6)</f>
        <v>0</v>
      </c>
      <c r="W6" s="80">
        <f>V6/4</f>
        <v>0</v>
      </c>
      <c r="X6" s="80"/>
      <c r="Z6" s="10">
        <v>4</v>
      </c>
      <c r="AA6" s="80"/>
      <c r="AB6" s="80">
        <f>SUM(AA3:AA6)</f>
        <v>0</v>
      </c>
      <c r="AC6" s="80">
        <f>AB6/4</f>
        <v>0</v>
      </c>
    </row>
    <row r="7" spans="1:29" ht="12.75">
      <c r="A7" s="10">
        <v>5</v>
      </c>
      <c r="B7" s="80">
        <v>213</v>
      </c>
      <c r="C7" s="80">
        <f>SUM(B3:B7)</f>
        <v>1247</v>
      </c>
      <c r="D7" s="80">
        <f>C7/5</f>
        <v>249.4</v>
      </c>
      <c r="E7" s="80"/>
      <c r="F7" s="80"/>
      <c r="H7" s="10">
        <v>5</v>
      </c>
      <c r="I7" s="80"/>
      <c r="J7" s="80">
        <f>SUM(I3:I7)</f>
        <v>0</v>
      </c>
      <c r="K7" s="80">
        <f>J7/5</f>
        <v>0</v>
      </c>
      <c r="L7" s="80"/>
      <c r="M7" s="80"/>
      <c r="N7" s="10">
        <v>5</v>
      </c>
      <c r="O7" s="80"/>
      <c r="P7" s="80">
        <f>SUM(O3:O7)</f>
        <v>0</v>
      </c>
      <c r="Q7" s="80">
        <f>P7/5</f>
        <v>0</v>
      </c>
      <c r="T7" s="10">
        <v>5</v>
      </c>
      <c r="U7" s="80"/>
      <c r="V7" s="80">
        <f>SUM(U3:U7)</f>
        <v>0</v>
      </c>
      <c r="W7" s="80">
        <f>V7/5</f>
        <v>0</v>
      </c>
      <c r="X7" s="80"/>
      <c r="Z7" s="10">
        <v>5</v>
      </c>
      <c r="AA7" s="80"/>
      <c r="AB7" s="80">
        <f>SUM(AA3:AA7)</f>
        <v>0</v>
      </c>
      <c r="AC7" s="80">
        <f>AB7/5</f>
        <v>0</v>
      </c>
    </row>
    <row r="8" spans="1:29" ht="12.75">
      <c r="A8" s="10">
        <v>6</v>
      </c>
      <c r="B8" s="80">
        <v>223</v>
      </c>
      <c r="C8" s="80">
        <f>SUM(B3:B8)</f>
        <v>1470</v>
      </c>
      <c r="D8" s="80">
        <f>C8/6</f>
        <v>245</v>
      </c>
      <c r="E8" s="80"/>
      <c r="F8" s="80"/>
      <c r="H8" s="10">
        <v>6</v>
      </c>
      <c r="I8" s="80"/>
      <c r="J8" s="80">
        <f>SUM(I3:I8)</f>
        <v>0</v>
      </c>
      <c r="K8" s="80">
        <f>J8/6</f>
        <v>0</v>
      </c>
      <c r="L8" s="80"/>
      <c r="M8" s="80"/>
      <c r="N8" s="10">
        <v>6</v>
      </c>
      <c r="O8" s="80"/>
      <c r="P8" s="80">
        <f>SUM(O3:O8)</f>
        <v>0</v>
      </c>
      <c r="Q8" s="80">
        <f>P8/6</f>
        <v>0</v>
      </c>
      <c r="T8" s="10">
        <v>6</v>
      </c>
      <c r="U8" s="80"/>
      <c r="V8" s="80">
        <f>SUM(U3:U8)</f>
        <v>0</v>
      </c>
      <c r="W8" s="80">
        <f>V8/6</f>
        <v>0</v>
      </c>
      <c r="X8" s="80"/>
      <c r="Z8" s="10">
        <v>6</v>
      </c>
      <c r="AA8" s="80"/>
      <c r="AB8" s="80">
        <f>SUM(AA3:AA8)</f>
        <v>0</v>
      </c>
      <c r="AC8" s="80">
        <f>AB8/6</f>
        <v>0</v>
      </c>
    </row>
    <row r="9" spans="1:29" ht="12.75">
      <c r="A9" s="10">
        <v>7</v>
      </c>
      <c r="B9" s="80">
        <v>267</v>
      </c>
      <c r="C9" s="80">
        <f>SUM(B3:B9)</f>
        <v>1737</v>
      </c>
      <c r="D9" s="80">
        <f>C9/7</f>
        <v>248.14285714285714</v>
      </c>
      <c r="E9" s="80"/>
      <c r="F9" s="80"/>
      <c r="H9" s="10">
        <v>7</v>
      </c>
      <c r="I9" s="80"/>
      <c r="J9" s="80">
        <f>SUM(I3:I9)</f>
        <v>0</v>
      </c>
      <c r="K9" s="80">
        <f>J9/7</f>
        <v>0</v>
      </c>
      <c r="L9" s="80"/>
      <c r="M9" s="80"/>
      <c r="N9" s="10">
        <v>7</v>
      </c>
      <c r="O9" s="80"/>
      <c r="P9" s="80">
        <f>SUM(O3:O9)</f>
        <v>0</v>
      </c>
      <c r="Q9" s="80">
        <f>P9/7</f>
        <v>0</v>
      </c>
      <c r="T9" s="10">
        <v>7</v>
      </c>
      <c r="U9" s="80"/>
      <c r="V9" s="80">
        <f>SUM(U3:U9)</f>
        <v>0</v>
      </c>
      <c r="W9" s="80">
        <f>V9/7</f>
        <v>0</v>
      </c>
      <c r="X9" s="80"/>
      <c r="Z9" s="10">
        <v>7</v>
      </c>
      <c r="AA9" s="80"/>
      <c r="AB9" s="80">
        <f>SUM(AA3:AA9)</f>
        <v>0</v>
      </c>
      <c r="AC9" s="80">
        <f>AB9/7</f>
        <v>0</v>
      </c>
    </row>
    <row r="10" spans="1:29" ht="12.75">
      <c r="A10" s="10">
        <v>8</v>
      </c>
      <c r="B10" s="80">
        <v>243</v>
      </c>
      <c r="C10" s="80">
        <f>SUM(B3:B10)</f>
        <v>1980</v>
      </c>
      <c r="D10" s="80">
        <f>C10/8</f>
        <v>247.5</v>
      </c>
      <c r="E10" s="80"/>
      <c r="F10" s="80"/>
      <c r="H10" s="10">
        <v>8</v>
      </c>
      <c r="I10" s="80"/>
      <c r="J10" s="80">
        <f>SUM(I3:I10)</f>
        <v>0</v>
      </c>
      <c r="K10" s="80">
        <f>J10/8</f>
        <v>0</v>
      </c>
      <c r="L10" s="80"/>
      <c r="M10" s="80"/>
      <c r="N10" s="10">
        <v>8</v>
      </c>
      <c r="O10" s="80"/>
      <c r="P10" s="80">
        <f>SUM(O3:O10)</f>
        <v>0</v>
      </c>
      <c r="Q10" s="80">
        <f>P10/8</f>
        <v>0</v>
      </c>
      <c r="T10" s="10">
        <v>8</v>
      </c>
      <c r="U10" s="80"/>
      <c r="V10" s="80">
        <f>SUM(U3:U10)</f>
        <v>0</v>
      </c>
      <c r="W10" s="80">
        <f>V10/8</f>
        <v>0</v>
      </c>
      <c r="X10" s="80"/>
      <c r="Z10" s="10">
        <v>8</v>
      </c>
      <c r="AA10" s="80"/>
      <c r="AB10" s="80">
        <f>SUM(AA3:AA10)</f>
        <v>0</v>
      </c>
      <c r="AC10" s="80">
        <f>AB10/8</f>
        <v>0</v>
      </c>
    </row>
    <row r="11" spans="1:29" ht="12.75">
      <c r="A11" s="10">
        <v>9</v>
      </c>
      <c r="B11" s="80">
        <v>279</v>
      </c>
      <c r="C11" s="80">
        <f>SUM(B3:B11)</f>
        <v>2259</v>
      </c>
      <c r="D11" s="80">
        <f>C11/9</f>
        <v>251</v>
      </c>
      <c r="E11" s="80"/>
      <c r="F11" s="80"/>
      <c r="H11" s="10">
        <v>9</v>
      </c>
      <c r="I11" s="80"/>
      <c r="J11" s="80">
        <f>SUM(I3:I11)</f>
        <v>0</v>
      </c>
      <c r="K11" s="80">
        <f>J11/9</f>
        <v>0</v>
      </c>
      <c r="L11" s="80"/>
      <c r="M11" s="80"/>
      <c r="N11" s="10">
        <v>9</v>
      </c>
      <c r="O11" s="80"/>
      <c r="P11" s="80">
        <f>SUM(O3:O11)</f>
        <v>0</v>
      </c>
      <c r="Q11" s="80">
        <f>P11/9</f>
        <v>0</v>
      </c>
      <c r="T11" s="10">
        <v>9</v>
      </c>
      <c r="U11" s="80"/>
      <c r="V11" s="80">
        <f>SUM(U3:U11)</f>
        <v>0</v>
      </c>
      <c r="W11" s="80">
        <f>V11/9</f>
        <v>0</v>
      </c>
      <c r="X11" s="80"/>
      <c r="Z11" s="10">
        <v>9</v>
      </c>
      <c r="AA11" s="80"/>
      <c r="AB11" s="80">
        <f>SUM(AA3:AA11)</f>
        <v>0</v>
      </c>
      <c r="AC11" s="80">
        <f>AB11/9</f>
        <v>0</v>
      </c>
    </row>
    <row r="12" spans="1:29" ht="12.75">
      <c r="A12" s="10">
        <v>10</v>
      </c>
      <c r="B12" s="80">
        <v>301</v>
      </c>
      <c r="C12" s="80">
        <f>SUM(B2:B12)</f>
        <v>2560</v>
      </c>
      <c r="D12" s="80">
        <f>C12/10</f>
        <v>256</v>
      </c>
      <c r="E12" s="80"/>
      <c r="F12" s="80"/>
      <c r="H12" s="10">
        <v>10</v>
      </c>
      <c r="I12" s="80"/>
      <c r="J12" s="80">
        <f>SUM(I2:I12)</f>
        <v>0</v>
      </c>
      <c r="K12" s="80">
        <f>J12/10</f>
        <v>0</v>
      </c>
      <c r="L12" s="80"/>
      <c r="M12" s="80"/>
      <c r="N12" s="10">
        <v>10</v>
      </c>
      <c r="O12" s="80"/>
      <c r="P12" s="80">
        <f>SUM(O2:O12)</f>
        <v>0</v>
      </c>
      <c r="Q12" s="80">
        <f>P12/10</f>
        <v>0</v>
      </c>
      <c r="T12" s="10">
        <v>10</v>
      </c>
      <c r="U12" s="80"/>
      <c r="V12" s="80">
        <f>SUM(U2:U12)</f>
        <v>0</v>
      </c>
      <c r="W12" s="80">
        <f>V12/10</f>
        <v>0</v>
      </c>
      <c r="X12" s="80"/>
      <c r="Z12" s="10">
        <v>10</v>
      </c>
      <c r="AA12" s="80"/>
      <c r="AB12" s="80">
        <f>SUM(AA2:AA12)</f>
        <v>0</v>
      </c>
      <c r="AC12" s="80">
        <f>AB12/10</f>
        <v>0</v>
      </c>
    </row>
    <row r="13" spans="1:29" ht="12.75">
      <c r="A13" s="10">
        <v>11</v>
      </c>
      <c r="B13" s="80">
        <v>222</v>
      </c>
      <c r="C13" s="80">
        <f>SUM(B3:B13)</f>
        <v>2782</v>
      </c>
      <c r="D13" s="80">
        <f>C13/11</f>
        <v>252.9090909090909</v>
      </c>
      <c r="E13" s="80"/>
      <c r="F13" s="80"/>
      <c r="H13" s="10">
        <v>11</v>
      </c>
      <c r="I13" s="80"/>
      <c r="J13" s="80">
        <f>SUM(I3:I13)</f>
        <v>0</v>
      </c>
      <c r="K13" s="80">
        <f>J13/11</f>
        <v>0</v>
      </c>
      <c r="L13" s="80"/>
      <c r="M13" s="80"/>
      <c r="N13" s="10">
        <v>11</v>
      </c>
      <c r="O13" s="80"/>
      <c r="P13" s="80">
        <f>SUM(O3:O13)</f>
        <v>0</v>
      </c>
      <c r="Q13" s="80">
        <f>P13/11</f>
        <v>0</v>
      </c>
      <c r="T13" s="10">
        <v>11</v>
      </c>
      <c r="U13" s="80"/>
      <c r="V13" s="80">
        <f>SUM(U3:U13)</f>
        <v>0</v>
      </c>
      <c r="W13" s="80">
        <f>V13/11</f>
        <v>0</v>
      </c>
      <c r="X13" s="80"/>
      <c r="Z13" s="10">
        <v>11</v>
      </c>
      <c r="AA13" s="80"/>
      <c r="AB13" s="80">
        <f>SUM(AA3:AA13)</f>
        <v>0</v>
      </c>
      <c r="AC13" s="80">
        <f>AB13/11</f>
        <v>0</v>
      </c>
    </row>
    <row r="14" spans="1:29" ht="12.75">
      <c r="A14" s="10">
        <v>12</v>
      </c>
      <c r="B14" s="80">
        <v>224</v>
      </c>
      <c r="C14" s="80">
        <f>SUM(B3:B14)</f>
        <v>3006</v>
      </c>
      <c r="D14" s="80">
        <f>C14/12</f>
        <v>250.5</v>
      </c>
      <c r="E14" s="80"/>
      <c r="F14" s="80"/>
      <c r="H14" s="10">
        <v>12</v>
      </c>
      <c r="I14" s="80"/>
      <c r="J14" s="80">
        <f>SUM(I3:I14)</f>
        <v>0</v>
      </c>
      <c r="K14" s="80">
        <f>J14/12</f>
        <v>0</v>
      </c>
      <c r="L14" s="80"/>
      <c r="M14" s="80"/>
      <c r="N14" s="10">
        <v>12</v>
      </c>
      <c r="O14" s="80"/>
      <c r="P14" s="80">
        <f>SUM(O3:O14)</f>
        <v>0</v>
      </c>
      <c r="Q14" s="80">
        <f>P14/12</f>
        <v>0</v>
      </c>
      <c r="T14" s="10">
        <v>12</v>
      </c>
      <c r="U14" s="80"/>
      <c r="V14" s="80">
        <f>SUM(U3:U14)</f>
        <v>0</v>
      </c>
      <c r="W14" s="80">
        <f>V14/12</f>
        <v>0</v>
      </c>
      <c r="X14" s="80"/>
      <c r="Z14" s="10">
        <v>12</v>
      </c>
      <c r="AA14" s="80"/>
      <c r="AB14" s="80">
        <f>SUM(AA3:AA14)</f>
        <v>0</v>
      </c>
      <c r="AC14" s="80">
        <f>AB14/12</f>
        <v>0</v>
      </c>
    </row>
    <row r="15" spans="1:29" ht="12.75">
      <c r="A15" s="10">
        <v>13</v>
      </c>
      <c r="B15" s="80">
        <v>226</v>
      </c>
      <c r="C15" s="80">
        <f>SUM(B3:B15)</f>
        <v>3232</v>
      </c>
      <c r="D15" s="80">
        <f>C15/13</f>
        <v>248.6153846153846</v>
      </c>
      <c r="E15" s="80"/>
      <c r="F15" s="80"/>
      <c r="H15" s="10">
        <v>13</v>
      </c>
      <c r="I15" s="80"/>
      <c r="J15" s="80">
        <f>SUM(I3:I15)</f>
        <v>0</v>
      </c>
      <c r="K15" s="80">
        <f>J15/13</f>
        <v>0</v>
      </c>
      <c r="L15" s="80"/>
      <c r="M15" s="80"/>
      <c r="N15" s="10">
        <v>13</v>
      </c>
      <c r="O15" s="80"/>
      <c r="P15" s="80">
        <f>SUM(O3:O15)</f>
        <v>0</v>
      </c>
      <c r="Q15" s="80">
        <f>P15/13</f>
        <v>0</v>
      </c>
      <c r="T15" s="10">
        <v>13</v>
      </c>
      <c r="U15" s="80"/>
      <c r="V15" s="80">
        <f>SUM(U3:U15)</f>
        <v>0</v>
      </c>
      <c r="W15" s="80">
        <f>V15/13</f>
        <v>0</v>
      </c>
      <c r="X15" s="80"/>
      <c r="Z15" s="10">
        <v>13</v>
      </c>
      <c r="AA15" s="80"/>
      <c r="AB15" s="80">
        <f>SUM(AA3:AA15)</f>
        <v>0</v>
      </c>
      <c r="AC15" s="80">
        <f>AB15/13</f>
        <v>0</v>
      </c>
    </row>
    <row r="16" spans="1:29" ht="12.75">
      <c r="A16" s="10">
        <v>14</v>
      </c>
      <c r="B16" s="80">
        <v>254</v>
      </c>
      <c r="C16" s="80">
        <f>SUM(B3:B16)</f>
        <v>3486</v>
      </c>
      <c r="D16" s="80">
        <f>C16/14</f>
        <v>249</v>
      </c>
      <c r="E16" s="80"/>
      <c r="F16" s="80"/>
      <c r="H16" s="10">
        <v>14</v>
      </c>
      <c r="I16" s="80"/>
      <c r="J16" s="80">
        <f>SUM(I3:I16)</f>
        <v>0</v>
      </c>
      <c r="K16" s="80">
        <f>J16/14</f>
        <v>0</v>
      </c>
      <c r="L16" s="80"/>
      <c r="M16" s="80"/>
      <c r="N16" s="10">
        <v>14</v>
      </c>
      <c r="O16" s="80"/>
      <c r="P16" s="80">
        <f>SUM(O3:O16)</f>
        <v>0</v>
      </c>
      <c r="Q16" s="80">
        <f>P16/14</f>
        <v>0</v>
      </c>
      <c r="T16" s="10">
        <v>14</v>
      </c>
      <c r="U16" s="80"/>
      <c r="V16" s="80">
        <f>SUM(U3:U16)</f>
        <v>0</v>
      </c>
      <c r="W16" s="80">
        <f>V16/14</f>
        <v>0</v>
      </c>
      <c r="X16" s="80"/>
      <c r="Z16" s="10">
        <v>14</v>
      </c>
      <c r="AA16" s="80"/>
      <c r="AB16" s="80">
        <f>SUM(AA3:AA16)</f>
        <v>0</v>
      </c>
      <c r="AC16" s="80">
        <f>AB16/14</f>
        <v>0</v>
      </c>
    </row>
    <row r="17" spans="1:29" ht="12.75">
      <c r="A17" s="10">
        <v>15</v>
      </c>
      <c r="B17" s="80">
        <v>256</v>
      </c>
      <c r="C17" s="80">
        <f>SUM(B3:B17)</f>
        <v>3742</v>
      </c>
      <c r="D17" s="80">
        <f>C17/15</f>
        <v>249.46666666666667</v>
      </c>
      <c r="E17" s="80"/>
      <c r="F17" s="80"/>
      <c r="H17" s="10">
        <v>15</v>
      </c>
      <c r="I17" s="80"/>
      <c r="J17" s="80">
        <f>SUM(I3:I17)</f>
        <v>0</v>
      </c>
      <c r="K17" s="80">
        <f>J17/15</f>
        <v>0</v>
      </c>
      <c r="L17" s="80"/>
      <c r="M17" s="80"/>
      <c r="N17" s="10">
        <v>15</v>
      </c>
      <c r="O17" s="80"/>
      <c r="P17" s="80">
        <f>SUM(O3:O17)</f>
        <v>0</v>
      </c>
      <c r="Q17" s="80">
        <f>P17/15</f>
        <v>0</v>
      </c>
      <c r="T17" s="10">
        <v>15</v>
      </c>
      <c r="U17" s="80"/>
      <c r="V17" s="80">
        <f>SUM(U3:U17)</f>
        <v>0</v>
      </c>
      <c r="W17" s="80">
        <f>V17/15</f>
        <v>0</v>
      </c>
      <c r="X17" s="80"/>
      <c r="Z17" s="10">
        <v>15</v>
      </c>
      <c r="AA17" s="80"/>
      <c r="AB17" s="80">
        <f>SUM(AA3:AA17)</f>
        <v>0</v>
      </c>
      <c r="AC17" s="80">
        <f>AB17/15</f>
        <v>0</v>
      </c>
    </row>
    <row r="18" spans="1:29" ht="12.75">
      <c r="A18" s="10">
        <v>16</v>
      </c>
      <c r="B18" s="80">
        <v>243</v>
      </c>
      <c r="C18" s="80">
        <f>SUM(B3:B18)</f>
        <v>3985</v>
      </c>
      <c r="D18" s="80">
        <f>C18/16</f>
        <v>249.0625</v>
      </c>
      <c r="E18" s="80"/>
      <c r="F18" s="80"/>
      <c r="H18" s="10">
        <v>16</v>
      </c>
      <c r="I18" s="80"/>
      <c r="J18" s="80">
        <f>SUM(I3:I18)</f>
        <v>0</v>
      </c>
      <c r="K18" s="80">
        <f>J18/16</f>
        <v>0</v>
      </c>
      <c r="L18" s="80"/>
      <c r="M18" s="80"/>
      <c r="N18" s="10">
        <v>16</v>
      </c>
      <c r="O18" s="80"/>
      <c r="P18" s="80">
        <f>SUM(O3:O18)</f>
        <v>0</v>
      </c>
      <c r="Q18" s="80">
        <f>P18/16</f>
        <v>0</v>
      </c>
      <c r="T18" s="10">
        <v>16</v>
      </c>
      <c r="U18" s="80"/>
      <c r="V18" s="80">
        <f>SUM(U3:U18)</f>
        <v>0</v>
      </c>
      <c r="W18" s="80">
        <f>V18/16</f>
        <v>0</v>
      </c>
      <c r="X18" s="80"/>
      <c r="Z18" s="10">
        <v>16</v>
      </c>
      <c r="AA18" s="80"/>
      <c r="AB18" s="80">
        <f>SUM(AA3:AA18)</f>
        <v>0</v>
      </c>
      <c r="AC18" s="80">
        <f>AB18/16</f>
        <v>0</v>
      </c>
    </row>
    <row r="19" spans="1:29" ht="12.75">
      <c r="A19" s="10">
        <v>17</v>
      </c>
      <c r="B19" s="80">
        <v>242</v>
      </c>
      <c r="C19" s="80">
        <f>SUM(B3:B19)</f>
        <v>4227</v>
      </c>
      <c r="D19" s="80">
        <f>C19/17</f>
        <v>248.64705882352942</v>
      </c>
      <c r="E19" s="80"/>
      <c r="F19" s="80"/>
      <c r="H19" s="10">
        <v>17</v>
      </c>
      <c r="I19" s="80"/>
      <c r="J19" s="80">
        <f>SUM(I3:I19)</f>
        <v>0</v>
      </c>
      <c r="K19" s="80">
        <f>J19/17</f>
        <v>0</v>
      </c>
      <c r="L19" s="80"/>
      <c r="M19" s="80"/>
      <c r="N19" s="10">
        <v>17</v>
      </c>
      <c r="O19" s="80"/>
      <c r="P19" s="80">
        <f>SUM(O3:O19)</f>
        <v>0</v>
      </c>
      <c r="Q19" s="80">
        <f>P19/17</f>
        <v>0</v>
      </c>
      <c r="T19" s="10">
        <v>17</v>
      </c>
      <c r="U19" s="80"/>
      <c r="V19" s="80">
        <f>SUM(U3:U19)</f>
        <v>0</v>
      </c>
      <c r="W19" s="80">
        <f>V19/17</f>
        <v>0</v>
      </c>
      <c r="X19" s="80"/>
      <c r="Z19" s="10">
        <v>17</v>
      </c>
      <c r="AA19" s="80"/>
      <c r="AB19" s="80">
        <f>SUM(AA3:AA19)</f>
        <v>0</v>
      </c>
      <c r="AC19" s="80">
        <f>AB19/17</f>
        <v>0</v>
      </c>
    </row>
    <row r="20" spans="1:29" ht="12.75">
      <c r="A20" s="10">
        <v>18</v>
      </c>
      <c r="B20" s="80">
        <v>267</v>
      </c>
      <c r="C20" s="80">
        <f>SUM(B3:B20)</f>
        <v>4494</v>
      </c>
      <c r="D20" s="80">
        <f>C20/18</f>
        <v>249.66666666666666</v>
      </c>
      <c r="E20" s="80"/>
      <c r="F20" s="80"/>
      <c r="H20" s="10">
        <v>18</v>
      </c>
      <c r="I20" s="80"/>
      <c r="J20" s="80">
        <f>SUM(I3:I20)</f>
        <v>0</v>
      </c>
      <c r="K20" s="80">
        <f>J20/18</f>
        <v>0</v>
      </c>
      <c r="L20" s="80"/>
      <c r="M20" s="80"/>
      <c r="N20" s="10">
        <v>18</v>
      </c>
      <c r="O20" s="80"/>
      <c r="P20" s="80">
        <f>SUM(O3:O20)</f>
        <v>0</v>
      </c>
      <c r="Q20" s="80">
        <f>P20/18</f>
        <v>0</v>
      </c>
      <c r="T20" s="10">
        <v>18</v>
      </c>
      <c r="U20" s="80"/>
      <c r="V20" s="80">
        <f>SUM(U3:U20)</f>
        <v>0</v>
      </c>
      <c r="W20" s="80">
        <f>V20/18</f>
        <v>0</v>
      </c>
      <c r="X20" s="80"/>
      <c r="Z20" s="10">
        <v>18</v>
      </c>
      <c r="AA20" s="80"/>
      <c r="AB20" s="80">
        <f>SUM(AA3:AA20)</f>
        <v>0</v>
      </c>
      <c r="AC20" s="80">
        <f>AB20/18</f>
        <v>0</v>
      </c>
    </row>
    <row r="21" spans="1:29" ht="12.75">
      <c r="A21" s="10">
        <v>19</v>
      </c>
      <c r="B21" s="80">
        <v>221</v>
      </c>
      <c r="C21" s="80">
        <f>SUM(B3:B21)</f>
        <v>4715</v>
      </c>
      <c r="D21" s="80">
        <f>C21/19</f>
        <v>248.1578947368421</v>
      </c>
      <c r="E21" s="80"/>
      <c r="F21" s="80"/>
      <c r="H21" s="10">
        <v>19</v>
      </c>
      <c r="I21" s="80"/>
      <c r="J21" s="80">
        <f>SUM(I3:I21)</f>
        <v>0</v>
      </c>
      <c r="K21" s="80">
        <f>J21/19</f>
        <v>0</v>
      </c>
      <c r="L21" s="80"/>
      <c r="M21" s="80"/>
      <c r="N21" s="10">
        <v>19</v>
      </c>
      <c r="O21" s="80"/>
      <c r="P21" s="80">
        <f>SUM(O3:O21)</f>
        <v>0</v>
      </c>
      <c r="Q21" s="80">
        <f>P21/19</f>
        <v>0</v>
      </c>
      <c r="T21" s="10">
        <v>19</v>
      </c>
      <c r="U21" s="80"/>
      <c r="V21" s="80">
        <f>SUM(U3:U21)</f>
        <v>0</v>
      </c>
      <c r="W21" s="80">
        <f>V21/19</f>
        <v>0</v>
      </c>
      <c r="X21" s="80"/>
      <c r="Z21" s="10">
        <v>19</v>
      </c>
      <c r="AA21" s="80"/>
      <c r="AB21" s="80">
        <f>SUM(AA3:AA21)</f>
        <v>0</v>
      </c>
      <c r="AC21" s="80">
        <f>AB21/19</f>
        <v>0</v>
      </c>
    </row>
    <row r="22" spans="1:29" ht="12.75">
      <c r="A22" s="10">
        <v>20</v>
      </c>
      <c r="B22" s="80">
        <v>411</v>
      </c>
      <c r="C22" s="80">
        <f>SUM(B3:B22)</f>
        <v>5126</v>
      </c>
      <c r="D22" s="80">
        <f>C22/20</f>
        <v>256.3</v>
      </c>
      <c r="E22" s="80"/>
      <c r="F22" s="80"/>
      <c r="H22" s="10">
        <v>20</v>
      </c>
      <c r="I22" s="80"/>
      <c r="J22" s="80">
        <f>SUM(I3:I22)</f>
        <v>0</v>
      </c>
      <c r="K22" s="80">
        <f>J22/20</f>
        <v>0</v>
      </c>
      <c r="L22" s="80"/>
      <c r="M22" s="80"/>
      <c r="N22" s="10">
        <v>20</v>
      </c>
      <c r="O22" s="80"/>
      <c r="P22" s="80">
        <f>SUM(O3:O22)</f>
        <v>0</v>
      </c>
      <c r="Q22" s="80">
        <f>P22/20</f>
        <v>0</v>
      </c>
      <c r="T22" s="10">
        <v>20</v>
      </c>
      <c r="U22" s="80"/>
      <c r="V22" s="80">
        <f>SUM(U3:U22)</f>
        <v>0</v>
      </c>
      <c r="W22" s="80">
        <f>V22/20</f>
        <v>0</v>
      </c>
      <c r="X22" s="80"/>
      <c r="Z22" s="10">
        <v>20</v>
      </c>
      <c r="AA22" s="80"/>
      <c r="AB22" s="80">
        <f>SUM(AA3:AA22)</f>
        <v>0</v>
      </c>
      <c r="AC22" s="80">
        <f>AB22/20</f>
        <v>0</v>
      </c>
    </row>
    <row r="23" spans="1:29" ht="12.75">
      <c r="A23" s="10">
        <v>21</v>
      </c>
      <c r="B23" s="80">
        <v>245</v>
      </c>
      <c r="C23" s="80">
        <f>SUM(B3:B23)</f>
        <v>5371</v>
      </c>
      <c r="D23" s="80">
        <f>C23/21</f>
        <v>255.76190476190476</v>
      </c>
      <c r="E23" s="80"/>
      <c r="F23" s="80"/>
      <c r="H23" s="10">
        <v>21</v>
      </c>
      <c r="I23" s="80"/>
      <c r="J23" s="80">
        <f>SUM(I3:I23)</f>
        <v>0</v>
      </c>
      <c r="K23" s="80">
        <f>J23/21</f>
        <v>0</v>
      </c>
      <c r="L23" s="80"/>
      <c r="M23" s="80"/>
      <c r="N23" s="10">
        <v>21</v>
      </c>
      <c r="O23" s="80"/>
      <c r="P23" s="80">
        <f>SUM(O3:O23)</f>
        <v>0</v>
      </c>
      <c r="Q23" s="80">
        <f>P23/21</f>
        <v>0</v>
      </c>
      <c r="T23" s="10">
        <v>21</v>
      </c>
      <c r="U23" s="80"/>
      <c r="V23" s="80">
        <f>SUM(U3:U23)</f>
        <v>0</v>
      </c>
      <c r="W23" s="80">
        <f>V23/21</f>
        <v>0</v>
      </c>
      <c r="X23" s="80"/>
      <c r="Z23" s="10">
        <v>21</v>
      </c>
      <c r="AA23" s="80"/>
      <c r="AB23" s="80">
        <f>SUM(AA3:AA23)</f>
        <v>0</v>
      </c>
      <c r="AC23" s="80">
        <f>AB23/21</f>
        <v>0</v>
      </c>
    </row>
    <row r="24" spans="1:29" ht="12.75">
      <c r="A24" s="10">
        <v>22</v>
      </c>
      <c r="B24" s="80">
        <v>254</v>
      </c>
      <c r="C24" s="80">
        <f>SUM(B3:B24)</f>
        <v>5625</v>
      </c>
      <c r="D24" s="80">
        <f>C24/22</f>
        <v>255.6818181818182</v>
      </c>
      <c r="E24" s="80"/>
      <c r="F24" s="80"/>
      <c r="H24" s="10">
        <v>22</v>
      </c>
      <c r="I24" s="80"/>
      <c r="J24" s="80">
        <f>SUM(I3:I24)</f>
        <v>0</v>
      </c>
      <c r="K24" s="80">
        <f>J24/22</f>
        <v>0</v>
      </c>
      <c r="L24" s="80"/>
      <c r="M24" s="80"/>
      <c r="N24" s="10">
        <v>22</v>
      </c>
      <c r="O24" s="80"/>
      <c r="P24" s="80">
        <f>SUM(O3:O24)</f>
        <v>0</v>
      </c>
      <c r="Q24" s="80">
        <f>P24/22</f>
        <v>0</v>
      </c>
      <c r="T24" s="10">
        <v>22</v>
      </c>
      <c r="U24" s="80"/>
      <c r="V24" s="80">
        <f>SUM(U3:U24)</f>
        <v>0</v>
      </c>
      <c r="W24" s="80">
        <f>V24/22</f>
        <v>0</v>
      </c>
      <c r="X24" s="80"/>
      <c r="Z24" s="10">
        <v>22</v>
      </c>
      <c r="AA24" s="80"/>
      <c r="AB24" s="80">
        <f>SUM(AA3:AA24)</f>
        <v>0</v>
      </c>
      <c r="AC24" s="80">
        <f>AB24/22</f>
        <v>0</v>
      </c>
    </row>
    <row r="25" spans="1:29" ht="12.75">
      <c r="A25" s="10">
        <v>23</v>
      </c>
      <c r="B25" s="80">
        <v>243</v>
      </c>
      <c r="C25" s="80">
        <f>SUM(B3:B25)</f>
        <v>5868</v>
      </c>
      <c r="D25" s="80">
        <f>C25/23</f>
        <v>255.1304347826087</v>
      </c>
      <c r="E25" s="80"/>
      <c r="F25" s="80"/>
      <c r="H25" s="10">
        <v>23</v>
      </c>
      <c r="I25" s="80"/>
      <c r="J25" s="80">
        <f>SUM(I3:I25)</f>
        <v>0</v>
      </c>
      <c r="K25" s="80">
        <f>J25/23</f>
        <v>0</v>
      </c>
      <c r="L25" s="80"/>
      <c r="M25" s="80"/>
      <c r="N25" s="10">
        <v>23</v>
      </c>
      <c r="O25" s="80"/>
      <c r="P25" s="80">
        <f>SUM(O3:O25)</f>
        <v>0</v>
      </c>
      <c r="Q25" s="80">
        <f>P25/23</f>
        <v>0</v>
      </c>
      <c r="T25" s="10">
        <v>23</v>
      </c>
      <c r="U25" s="80"/>
      <c r="V25" s="80">
        <f>SUM(U3:U25)</f>
        <v>0</v>
      </c>
      <c r="W25" s="80">
        <f>V25/23</f>
        <v>0</v>
      </c>
      <c r="X25" s="80"/>
      <c r="Z25" s="10">
        <v>23</v>
      </c>
      <c r="AA25" s="80"/>
      <c r="AB25" s="80">
        <f>SUM(AA3:AA25)</f>
        <v>0</v>
      </c>
      <c r="AC25" s="80">
        <f>AB25/23</f>
        <v>0</v>
      </c>
    </row>
    <row r="26" spans="1:29" ht="12.75">
      <c r="A26" s="10">
        <v>24</v>
      </c>
      <c r="B26" s="80">
        <v>245</v>
      </c>
      <c r="C26" s="80">
        <f>SUM(B3:B26)</f>
        <v>6113</v>
      </c>
      <c r="D26" s="80">
        <f>C26/24</f>
        <v>254.70833333333334</v>
      </c>
      <c r="E26" s="80"/>
      <c r="F26" s="80"/>
      <c r="H26" s="10">
        <v>24</v>
      </c>
      <c r="I26" s="80"/>
      <c r="J26" s="80">
        <f>SUM(I3:I26)</f>
        <v>0</v>
      </c>
      <c r="K26" s="80">
        <f>J26/24</f>
        <v>0</v>
      </c>
      <c r="L26" s="80"/>
      <c r="M26" s="80"/>
      <c r="N26" s="10">
        <v>24</v>
      </c>
      <c r="O26" s="80"/>
      <c r="P26" s="80">
        <f>SUM(O3:O26)</f>
        <v>0</v>
      </c>
      <c r="Q26" s="80">
        <f>P26/24</f>
        <v>0</v>
      </c>
      <c r="T26" s="10">
        <v>24</v>
      </c>
      <c r="U26" s="80"/>
      <c r="V26" s="80">
        <f>SUM(U3:U26)</f>
        <v>0</v>
      </c>
      <c r="W26" s="80">
        <f>V26/24</f>
        <v>0</v>
      </c>
      <c r="X26" s="80"/>
      <c r="Z26" s="10">
        <v>24</v>
      </c>
      <c r="AA26" s="80"/>
      <c r="AB26" s="80">
        <f>SUM(AA3:AA26)</f>
        <v>0</v>
      </c>
      <c r="AC26" s="80">
        <f>AB26/24</f>
        <v>0</v>
      </c>
    </row>
    <row r="27" spans="1:29" ht="12.75">
      <c r="A27" s="10">
        <v>25</v>
      </c>
      <c r="B27" s="80">
        <v>249</v>
      </c>
      <c r="C27" s="80">
        <f>SUM(B3:B27)</f>
        <v>6362</v>
      </c>
      <c r="D27" s="80">
        <f>C27/25</f>
        <v>254.48</v>
      </c>
      <c r="E27" s="80"/>
      <c r="F27" s="80"/>
      <c r="H27" s="10">
        <v>25</v>
      </c>
      <c r="I27" s="80"/>
      <c r="J27" s="80">
        <f>SUM(I3:I27)</f>
        <v>0</v>
      </c>
      <c r="K27" s="80">
        <f>J27/25</f>
        <v>0</v>
      </c>
      <c r="L27" s="80"/>
      <c r="M27" s="80"/>
      <c r="N27" s="10">
        <v>25</v>
      </c>
      <c r="O27" s="80"/>
      <c r="P27" s="80">
        <f>SUM(O3:O27)</f>
        <v>0</v>
      </c>
      <c r="Q27" s="80">
        <f>P27/25</f>
        <v>0</v>
      </c>
      <c r="T27" s="10">
        <v>25</v>
      </c>
      <c r="U27" s="80"/>
      <c r="V27" s="80">
        <f>SUM(U3:U27)</f>
        <v>0</v>
      </c>
      <c r="W27" s="80">
        <f>V27/25</f>
        <v>0</v>
      </c>
      <c r="X27" s="80"/>
      <c r="Z27" s="10">
        <v>25</v>
      </c>
      <c r="AA27" s="80"/>
      <c r="AB27" s="80">
        <f>SUM(AA3:AA27)</f>
        <v>0</v>
      </c>
      <c r="AC27" s="80">
        <f>AB27/25</f>
        <v>0</v>
      </c>
    </row>
    <row r="28" spans="1:29" ht="12.75">
      <c r="A28" s="10">
        <v>26</v>
      </c>
      <c r="B28" s="80">
        <v>221</v>
      </c>
      <c r="C28" s="80">
        <f>SUM(B3:B28)</f>
        <v>6583</v>
      </c>
      <c r="D28" s="80">
        <f>C28/26</f>
        <v>253.19230769230768</v>
      </c>
      <c r="E28" s="80"/>
      <c r="F28" s="80"/>
      <c r="H28" s="10">
        <v>26</v>
      </c>
      <c r="I28" s="80"/>
      <c r="J28" s="80">
        <f>SUM(I3:I28)</f>
        <v>0</v>
      </c>
      <c r="K28" s="80">
        <f>J28/26</f>
        <v>0</v>
      </c>
      <c r="L28" s="80"/>
      <c r="M28" s="80"/>
      <c r="N28" s="10">
        <v>26</v>
      </c>
      <c r="O28" s="80"/>
      <c r="P28" s="80">
        <f>SUM(O3:O28)</f>
        <v>0</v>
      </c>
      <c r="Q28" s="80">
        <f>P28/26</f>
        <v>0</v>
      </c>
      <c r="T28" s="10">
        <v>26</v>
      </c>
      <c r="U28" s="80"/>
      <c r="V28" s="80">
        <f>SUM(U3:U28)</f>
        <v>0</v>
      </c>
      <c r="W28" s="80">
        <f>V28/26</f>
        <v>0</v>
      </c>
      <c r="X28" s="80"/>
      <c r="Z28" s="10">
        <v>26</v>
      </c>
      <c r="AA28" s="80"/>
      <c r="AB28" s="80">
        <f>SUM(AA3:AA28)</f>
        <v>0</v>
      </c>
      <c r="AC28" s="80">
        <f>AB28/26</f>
        <v>0</v>
      </c>
    </row>
    <row r="29" spans="1:29" ht="12.75">
      <c r="A29" s="10">
        <v>27</v>
      </c>
      <c r="B29" s="80">
        <v>345</v>
      </c>
      <c r="C29" s="80">
        <f>SUM(B3:B29)</f>
        <v>6928</v>
      </c>
      <c r="D29" s="80">
        <f>C29/27</f>
        <v>256.5925925925926</v>
      </c>
      <c r="E29" s="80"/>
      <c r="F29" s="80"/>
      <c r="H29" s="10">
        <v>27</v>
      </c>
      <c r="I29" s="80"/>
      <c r="J29" s="80">
        <f>SUM(I3:I29)</f>
        <v>0</v>
      </c>
      <c r="K29" s="80">
        <f>J29/27</f>
        <v>0</v>
      </c>
      <c r="L29" s="80"/>
      <c r="M29" s="80"/>
      <c r="N29" s="10">
        <v>27</v>
      </c>
      <c r="O29" s="80"/>
      <c r="P29" s="80">
        <f>SUM(O3:O29)</f>
        <v>0</v>
      </c>
      <c r="Q29" s="80">
        <f>P29/27</f>
        <v>0</v>
      </c>
      <c r="T29" s="10">
        <v>27</v>
      </c>
      <c r="U29" s="80"/>
      <c r="V29" s="80">
        <f>SUM(U3:U29)</f>
        <v>0</v>
      </c>
      <c r="W29" s="80">
        <f>V29/27</f>
        <v>0</v>
      </c>
      <c r="X29" s="80"/>
      <c r="Z29" s="10">
        <v>27</v>
      </c>
      <c r="AA29" s="80"/>
      <c r="AB29" s="80">
        <f>SUM(AA3:AA29)</f>
        <v>0</v>
      </c>
      <c r="AC29" s="80">
        <f>AB29/27</f>
        <v>0</v>
      </c>
    </row>
    <row r="30" spans="1:29" ht="12.75">
      <c r="A30" s="10">
        <v>28</v>
      </c>
      <c r="B30" s="80">
        <v>232</v>
      </c>
      <c r="C30" s="80">
        <f>SUM(B3:B30)</f>
        <v>7160</v>
      </c>
      <c r="D30" s="80">
        <f>C30/28</f>
        <v>255.71428571428572</v>
      </c>
      <c r="E30" s="80"/>
      <c r="F30" s="80"/>
      <c r="H30" s="10">
        <v>28</v>
      </c>
      <c r="I30" s="80"/>
      <c r="J30" s="80">
        <f>SUM(I3:I30)</f>
        <v>0</v>
      </c>
      <c r="K30" s="80">
        <f>J30/28</f>
        <v>0</v>
      </c>
      <c r="L30" s="80"/>
      <c r="M30" s="80"/>
      <c r="N30" s="10">
        <v>28</v>
      </c>
      <c r="O30" s="80"/>
      <c r="P30" s="80">
        <f>SUM(O3:O30)</f>
        <v>0</v>
      </c>
      <c r="Q30" s="80">
        <f>P30/28</f>
        <v>0</v>
      </c>
      <c r="T30" s="10">
        <v>28</v>
      </c>
      <c r="U30" s="80"/>
      <c r="V30" s="80">
        <f>SUM(U3:U30)</f>
        <v>0</v>
      </c>
      <c r="W30" s="80">
        <f>V30/28</f>
        <v>0</v>
      </c>
      <c r="X30" s="80"/>
      <c r="Z30" s="10">
        <v>28</v>
      </c>
      <c r="AA30" s="80"/>
      <c r="AB30" s="80">
        <f>SUM(AA3:AA30)</f>
        <v>0</v>
      </c>
      <c r="AC30" s="80">
        <f>AB30/28</f>
        <v>0</v>
      </c>
    </row>
    <row r="31" spans="1:29" ht="12.75">
      <c r="A31" s="10">
        <v>29</v>
      </c>
      <c r="B31" s="80">
        <v>254</v>
      </c>
      <c r="C31" s="80">
        <f>SUM(B3:B31)</f>
        <v>7414</v>
      </c>
      <c r="D31" s="80">
        <f>C31/29</f>
        <v>255.6551724137931</v>
      </c>
      <c r="E31" s="80"/>
      <c r="F31" s="80"/>
      <c r="H31" s="10">
        <v>29</v>
      </c>
      <c r="I31" s="80"/>
      <c r="J31" s="80">
        <f>SUM(I3:I31)</f>
        <v>0</v>
      </c>
      <c r="K31" s="80">
        <f>J31/29</f>
        <v>0</v>
      </c>
      <c r="L31" s="80"/>
      <c r="M31" s="80"/>
      <c r="N31" s="10">
        <v>29</v>
      </c>
      <c r="O31" s="80"/>
      <c r="P31" s="80">
        <f>SUM(O3:O31)</f>
        <v>0</v>
      </c>
      <c r="Q31" s="80">
        <f>P31/29</f>
        <v>0</v>
      </c>
      <c r="T31" s="10">
        <v>29</v>
      </c>
      <c r="U31" s="80"/>
      <c r="V31" s="80">
        <f>SUM(U3:U31)</f>
        <v>0</v>
      </c>
      <c r="W31" s="80">
        <f>V31/29</f>
        <v>0</v>
      </c>
      <c r="X31" s="80"/>
      <c r="Z31" s="10">
        <v>29</v>
      </c>
      <c r="AA31" s="80"/>
      <c r="AB31" s="80">
        <f>SUM(AA3:AA31)</f>
        <v>0</v>
      </c>
      <c r="AC31" s="80">
        <f>AB31/29</f>
        <v>0</v>
      </c>
    </row>
    <row r="32" spans="1:29" ht="12.75">
      <c r="A32" s="10">
        <v>30</v>
      </c>
      <c r="B32" s="80">
        <v>222</v>
      </c>
      <c r="C32" s="80">
        <f>SUM(B3:B32)</f>
        <v>7636</v>
      </c>
      <c r="D32" s="80">
        <f>C32/30</f>
        <v>254.53333333333333</v>
      </c>
      <c r="E32" s="80"/>
      <c r="F32" s="80"/>
      <c r="H32" s="10">
        <v>30</v>
      </c>
      <c r="I32" s="80"/>
      <c r="J32" s="80">
        <f>SUM(I3:I32)</f>
        <v>0</v>
      </c>
      <c r="K32" s="80">
        <f>J32/30</f>
        <v>0</v>
      </c>
      <c r="L32" s="80"/>
      <c r="M32" s="80"/>
      <c r="N32" s="10">
        <v>30</v>
      </c>
      <c r="O32" s="80"/>
      <c r="P32" s="80">
        <f>SUM(O3:O32)</f>
        <v>0</v>
      </c>
      <c r="Q32" s="80">
        <f>P32/30</f>
        <v>0</v>
      </c>
      <c r="T32" s="10">
        <v>30</v>
      </c>
      <c r="U32" s="80"/>
      <c r="V32" s="80">
        <f>SUM(U3:U32)</f>
        <v>0</v>
      </c>
      <c r="W32" s="80">
        <f>V32/30</f>
        <v>0</v>
      </c>
      <c r="X32" s="80"/>
      <c r="Z32" s="10">
        <v>30</v>
      </c>
      <c r="AA32" s="80"/>
      <c r="AB32" s="80">
        <f>SUM(AA3:AA32)</f>
        <v>0</v>
      </c>
      <c r="AC32" s="80">
        <f>AB32/30</f>
        <v>0</v>
      </c>
    </row>
    <row r="33" spans="1:29" ht="12.75">
      <c r="A33" s="10">
        <v>31</v>
      </c>
      <c r="B33" s="80">
        <v>221</v>
      </c>
      <c r="C33" s="80">
        <f>SUM(B3:B33)</f>
        <v>7857</v>
      </c>
      <c r="D33" s="80">
        <f>C33/31</f>
        <v>253.4516129032258</v>
      </c>
      <c r="E33" s="80"/>
      <c r="F33" s="80"/>
      <c r="H33" s="10">
        <v>31</v>
      </c>
      <c r="I33" s="80"/>
      <c r="J33" s="80">
        <f>SUM(I3:I33)</f>
        <v>0</v>
      </c>
      <c r="K33" s="80">
        <f>J33/31</f>
        <v>0</v>
      </c>
      <c r="L33" s="80"/>
      <c r="M33" s="80"/>
      <c r="N33" s="10">
        <v>31</v>
      </c>
      <c r="O33" s="80"/>
      <c r="P33" s="80">
        <f>SUM(O3:O33)</f>
        <v>0</v>
      </c>
      <c r="Q33" s="80">
        <f>P33/31</f>
        <v>0</v>
      </c>
      <c r="T33" s="10">
        <v>31</v>
      </c>
      <c r="U33" s="80"/>
      <c r="V33" s="80">
        <f>SUM(U3:U33)</f>
        <v>0</v>
      </c>
      <c r="W33" s="80">
        <f>V33/31</f>
        <v>0</v>
      </c>
      <c r="X33" s="80"/>
      <c r="Z33" s="10">
        <v>31</v>
      </c>
      <c r="AA33" s="80"/>
      <c r="AB33" s="80">
        <f>SUM(AA3:AA33)</f>
        <v>0</v>
      </c>
      <c r="AC33" s="80">
        <f>AB33/31</f>
        <v>0</v>
      </c>
    </row>
    <row r="34" spans="1:29" ht="12.75">
      <c r="A34" s="10">
        <v>32</v>
      </c>
      <c r="B34" s="80">
        <v>226</v>
      </c>
      <c r="C34" s="80">
        <f>SUM(B3:B34)</f>
        <v>8083</v>
      </c>
      <c r="D34" s="80">
        <f>C34/32</f>
        <v>252.59375</v>
      </c>
      <c r="E34" s="80"/>
      <c r="F34" s="80"/>
      <c r="H34" s="10">
        <v>32</v>
      </c>
      <c r="I34" s="80"/>
      <c r="J34" s="80">
        <f>SUM(I3:I34)</f>
        <v>0</v>
      </c>
      <c r="K34" s="80">
        <f>J34/32</f>
        <v>0</v>
      </c>
      <c r="L34" s="80"/>
      <c r="M34" s="80"/>
      <c r="N34" s="10">
        <v>32</v>
      </c>
      <c r="O34" s="80"/>
      <c r="P34" s="80">
        <f>SUM(O3:O34)</f>
        <v>0</v>
      </c>
      <c r="Q34" s="80">
        <f>P34/32</f>
        <v>0</v>
      </c>
      <c r="T34" s="10">
        <v>32</v>
      </c>
      <c r="U34" s="80"/>
      <c r="V34" s="80">
        <f>SUM(U3:U34)</f>
        <v>0</v>
      </c>
      <c r="W34" s="80">
        <f>V34/32</f>
        <v>0</v>
      </c>
      <c r="X34" s="80"/>
      <c r="Z34" s="10">
        <v>32</v>
      </c>
      <c r="AA34" s="80"/>
      <c r="AB34" s="80">
        <f>SUM(AA3:AA34)</f>
        <v>0</v>
      </c>
      <c r="AC34" s="80">
        <f>AB34/32</f>
        <v>0</v>
      </c>
    </row>
    <row r="35" spans="1:29" ht="12.75">
      <c r="A35" s="10">
        <v>33</v>
      </c>
      <c r="B35" s="80">
        <v>218</v>
      </c>
      <c r="C35" s="80">
        <f>SUM(B3:B35)</f>
        <v>8301</v>
      </c>
      <c r="D35" s="80">
        <f>C35/33</f>
        <v>251.54545454545453</v>
      </c>
      <c r="E35" s="80"/>
      <c r="F35" s="80"/>
      <c r="H35" s="10">
        <v>33</v>
      </c>
      <c r="I35" s="80"/>
      <c r="J35" s="80">
        <f>SUM(I3:I35)</f>
        <v>0</v>
      </c>
      <c r="K35" s="80">
        <f>J35/33</f>
        <v>0</v>
      </c>
      <c r="L35" s="80"/>
      <c r="M35" s="80"/>
      <c r="N35" s="10">
        <v>33</v>
      </c>
      <c r="O35" s="80"/>
      <c r="P35" s="80">
        <f>SUM(O3:O35)</f>
        <v>0</v>
      </c>
      <c r="Q35" s="80">
        <f>P35/33</f>
        <v>0</v>
      </c>
      <c r="T35" s="10">
        <v>33</v>
      </c>
      <c r="U35" s="80"/>
      <c r="V35" s="80">
        <f>SUM(U3:U35)</f>
        <v>0</v>
      </c>
      <c r="W35" s="80">
        <f>V35/33</f>
        <v>0</v>
      </c>
      <c r="X35" s="80"/>
      <c r="Z35" s="10">
        <v>33</v>
      </c>
      <c r="AA35" s="80"/>
      <c r="AB35" s="80">
        <f>SUM(AA3:AA35)</f>
        <v>0</v>
      </c>
      <c r="AC35" s="80">
        <f>AB35/33</f>
        <v>0</v>
      </c>
    </row>
    <row r="36" spans="1:29" ht="12.75">
      <c r="A36" s="10">
        <v>34</v>
      </c>
      <c r="B36" s="80">
        <v>229</v>
      </c>
      <c r="C36" s="80">
        <f>SUM(B3:B36)</f>
        <v>8530</v>
      </c>
      <c r="D36" s="80">
        <f>C36/34</f>
        <v>250.88235294117646</v>
      </c>
      <c r="E36" s="80"/>
      <c r="F36" s="80"/>
      <c r="H36" s="10">
        <v>34</v>
      </c>
      <c r="I36" s="80"/>
      <c r="J36" s="80">
        <f>SUM(I3:I36)</f>
        <v>0</v>
      </c>
      <c r="K36" s="80">
        <f>J36/34</f>
        <v>0</v>
      </c>
      <c r="L36" s="80"/>
      <c r="M36" s="80"/>
      <c r="N36" s="10">
        <v>34</v>
      </c>
      <c r="O36" s="80"/>
      <c r="P36" s="80">
        <f>SUM(O3:O36)</f>
        <v>0</v>
      </c>
      <c r="Q36" s="80">
        <f>P36/34</f>
        <v>0</v>
      </c>
      <c r="T36" s="10">
        <v>34</v>
      </c>
      <c r="U36" s="80"/>
      <c r="V36" s="80">
        <f>SUM(U3:U36)</f>
        <v>0</v>
      </c>
      <c r="W36" s="80">
        <f>V36/34</f>
        <v>0</v>
      </c>
      <c r="X36" s="80"/>
      <c r="Z36" s="10">
        <v>34</v>
      </c>
      <c r="AA36" s="80"/>
      <c r="AB36" s="80">
        <f>SUM(AA3:AA36)</f>
        <v>0</v>
      </c>
      <c r="AC36" s="80">
        <f>AB36/34</f>
        <v>0</v>
      </c>
    </row>
    <row r="37" spans="1:29" ht="12.75">
      <c r="A37" s="10">
        <v>35</v>
      </c>
      <c r="B37" s="80">
        <v>256</v>
      </c>
      <c r="C37" s="80">
        <f>SUM(B3:B37)</f>
        <v>8786</v>
      </c>
      <c r="D37" s="80">
        <f>C37/35</f>
        <v>251.02857142857144</v>
      </c>
      <c r="E37" s="80"/>
      <c r="F37" s="80"/>
      <c r="H37" s="10">
        <v>35</v>
      </c>
      <c r="I37" s="80"/>
      <c r="J37" s="80">
        <f>SUM(I3:I37)</f>
        <v>0</v>
      </c>
      <c r="K37" s="80">
        <f>J37/35</f>
        <v>0</v>
      </c>
      <c r="L37" s="80"/>
      <c r="M37" s="80"/>
      <c r="N37" s="10">
        <v>35</v>
      </c>
      <c r="O37" s="80"/>
      <c r="P37" s="80">
        <f>SUM(O3:O37)</f>
        <v>0</v>
      </c>
      <c r="Q37" s="80">
        <f>P37/35</f>
        <v>0</v>
      </c>
      <c r="T37" s="10">
        <v>35</v>
      </c>
      <c r="U37" s="80"/>
      <c r="V37" s="80">
        <f>SUM(U3:U37)</f>
        <v>0</v>
      </c>
      <c r="W37" s="80">
        <f>V37/35</f>
        <v>0</v>
      </c>
      <c r="X37" s="80"/>
      <c r="Z37" s="10">
        <v>35</v>
      </c>
      <c r="AA37" s="80"/>
      <c r="AB37" s="80">
        <f>SUM(AA3:AA37)</f>
        <v>0</v>
      </c>
      <c r="AC37" s="80">
        <f>AB37/35</f>
        <v>0</v>
      </c>
    </row>
    <row r="38" spans="1:29" ht="12.75">
      <c r="A38" s="10">
        <v>36</v>
      </c>
      <c r="B38" s="80">
        <v>287</v>
      </c>
      <c r="C38" s="80">
        <f>SUM(B3:B38)</f>
        <v>9073</v>
      </c>
      <c r="D38" s="80">
        <f>C38/36</f>
        <v>252.02777777777777</v>
      </c>
      <c r="E38" s="80"/>
      <c r="F38" s="80"/>
      <c r="H38" s="10">
        <v>36</v>
      </c>
      <c r="I38" s="80"/>
      <c r="J38" s="80">
        <f>SUM(I3:I38)</f>
        <v>0</v>
      </c>
      <c r="K38" s="80">
        <f>J38/36</f>
        <v>0</v>
      </c>
      <c r="L38" s="80"/>
      <c r="M38" s="80"/>
      <c r="N38" s="10">
        <v>36</v>
      </c>
      <c r="O38" s="80"/>
      <c r="P38" s="80">
        <f>SUM(O3:O38)</f>
        <v>0</v>
      </c>
      <c r="Q38" s="80">
        <f>P38/36</f>
        <v>0</v>
      </c>
      <c r="T38" s="10">
        <v>36</v>
      </c>
      <c r="U38" s="80"/>
      <c r="V38" s="80">
        <f>SUM(U3:U38)</f>
        <v>0</v>
      </c>
      <c r="W38" s="80">
        <f>V38/36</f>
        <v>0</v>
      </c>
      <c r="X38" s="80"/>
      <c r="Z38" s="10">
        <v>36</v>
      </c>
      <c r="AA38" s="80"/>
      <c r="AB38" s="80">
        <f>SUM(AA3:AA38)</f>
        <v>0</v>
      </c>
      <c r="AC38" s="80">
        <f>AB38/36</f>
        <v>0</v>
      </c>
    </row>
    <row r="39" spans="1:29" ht="12.75">
      <c r="A39" s="10">
        <v>37</v>
      </c>
      <c r="B39" s="80">
        <v>255</v>
      </c>
      <c r="C39" s="80">
        <f>SUM(B3:B39)</f>
        <v>9328</v>
      </c>
      <c r="D39" s="80">
        <f>C39/37</f>
        <v>252.1081081081081</v>
      </c>
      <c r="E39" s="80"/>
      <c r="F39" s="80"/>
      <c r="H39" s="10">
        <v>37</v>
      </c>
      <c r="I39" s="80"/>
      <c r="J39" s="80">
        <f>SUM(I3:I39)</f>
        <v>0</v>
      </c>
      <c r="K39" s="80">
        <f>J39/37</f>
        <v>0</v>
      </c>
      <c r="L39" s="80"/>
      <c r="M39" s="80"/>
      <c r="N39" s="10">
        <v>37</v>
      </c>
      <c r="O39" s="80"/>
      <c r="P39" s="80">
        <f>SUM(O3:O39)</f>
        <v>0</v>
      </c>
      <c r="Q39" s="80">
        <f>P39/37</f>
        <v>0</v>
      </c>
      <c r="T39" s="10">
        <v>37</v>
      </c>
      <c r="U39" s="80"/>
      <c r="V39" s="80">
        <f>SUM(U3:U39)</f>
        <v>0</v>
      </c>
      <c r="W39" s="80">
        <f>V39/37</f>
        <v>0</v>
      </c>
      <c r="X39" s="80"/>
      <c r="Z39" s="10">
        <v>37</v>
      </c>
      <c r="AA39" s="80"/>
      <c r="AB39" s="80">
        <f>SUM(AA3:AA39)</f>
        <v>0</v>
      </c>
      <c r="AC39" s="80">
        <f>AB39/37</f>
        <v>0</v>
      </c>
    </row>
    <row r="40" spans="1:29" ht="12.75">
      <c r="A40" s="10">
        <v>38</v>
      </c>
      <c r="B40" s="80">
        <v>266</v>
      </c>
      <c r="C40" s="80">
        <f>SUM(B3:B40)</f>
        <v>9594</v>
      </c>
      <c r="D40" s="80">
        <f>C40/38</f>
        <v>252.47368421052633</v>
      </c>
      <c r="E40" s="80"/>
      <c r="F40" s="80"/>
      <c r="H40" s="10">
        <v>38</v>
      </c>
      <c r="I40" s="80"/>
      <c r="J40" s="80">
        <f>SUM(I3:I40)</f>
        <v>0</v>
      </c>
      <c r="K40" s="80">
        <f>J40/38</f>
        <v>0</v>
      </c>
      <c r="L40" s="80"/>
      <c r="M40" s="80"/>
      <c r="N40" s="10">
        <v>38</v>
      </c>
      <c r="O40" s="80"/>
      <c r="P40" s="80">
        <f>SUM(O3:O40)</f>
        <v>0</v>
      </c>
      <c r="Q40" s="80">
        <f>P40/38</f>
        <v>0</v>
      </c>
      <c r="T40" s="10">
        <v>38</v>
      </c>
      <c r="U40" s="80"/>
      <c r="V40" s="80">
        <f>SUM(U3:U40)</f>
        <v>0</v>
      </c>
      <c r="W40" s="80">
        <f>V40/38</f>
        <v>0</v>
      </c>
      <c r="X40" s="80"/>
      <c r="Z40" s="10">
        <v>38</v>
      </c>
      <c r="AA40" s="80"/>
      <c r="AB40" s="80">
        <f>SUM(AA3:AA40)</f>
        <v>0</v>
      </c>
      <c r="AC40" s="80">
        <f>AB40/38</f>
        <v>0</v>
      </c>
    </row>
    <row r="41" spans="1:29" ht="12.75">
      <c r="A41" s="10">
        <v>39</v>
      </c>
      <c r="B41" s="80">
        <v>245</v>
      </c>
      <c r="C41" s="80">
        <f>SUM(B3:B41)</f>
        <v>9839</v>
      </c>
      <c r="D41" s="80">
        <f>C41/39</f>
        <v>252.28205128205127</v>
      </c>
      <c r="E41" s="80"/>
      <c r="F41" s="80"/>
      <c r="H41" s="10">
        <v>39</v>
      </c>
      <c r="I41" s="80"/>
      <c r="J41" s="80">
        <f>SUM(I3:I41)</f>
        <v>0</v>
      </c>
      <c r="K41" s="80">
        <f>J41/39</f>
        <v>0</v>
      </c>
      <c r="L41" s="80"/>
      <c r="M41" s="80"/>
      <c r="N41" s="10">
        <v>39</v>
      </c>
      <c r="O41" s="80"/>
      <c r="P41" s="80">
        <f>SUM(O3:O41)</f>
        <v>0</v>
      </c>
      <c r="Q41" s="80">
        <f>P41/39</f>
        <v>0</v>
      </c>
      <c r="T41" s="10">
        <v>39</v>
      </c>
      <c r="U41" s="80"/>
      <c r="V41" s="80">
        <f>SUM(U3:U41)</f>
        <v>0</v>
      </c>
      <c r="W41" s="80">
        <f>V41/39</f>
        <v>0</v>
      </c>
      <c r="X41" s="80"/>
      <c r="Z41" s="10">
        <v>39</v>
      </c>
      <c r="AA41" s="80"/>
      <c r="AB41" s="80">
        <f>SUM(AA3:AA41)</f>
        <v>0</v>
      </c>
      <c r="AC41" s="80">
        <f>AB41/39</f>
        <v>0</v>
      </c>
    </row>
    <row r="42" spans="1:29" ht="12.75">
      <c r="A42" s="10">
        <v>40</v>
      </c>
      <c r="B42" s="80">
        <v>253</v>
      </c>
      <c r="C42" s="80">
        <f>SUM(B3:B42)</f>
        <v>10092</v>
      </c>
      <c r="D42" s="80">
        <f>C42/40</f>
        <v>252.3</v>
      </c>
      <c r="E42" s="80"/>
      <c r="F42" s="80"/>
      <c r="H42" s="10">
        <v>40</v>
      </c>
      <c r="I42" s="80"/>
      <c r="J42" s="80">
        <f>SUM(I3:I42)</f>
        <v>0</v>
      </c>
      <c r="K42" s="80">
        <f>J42/40</f>
        <v>0</v>
      </c>
      <c r="L42" s="80"/>
      <c r="M42" s="80"/>
      <c r="N42" s="10">
        <v>40</v>
      </c>
      <c r="O42" s="80"/>
      <c r="P42" s="80">
        <f>SUM(O3:O42)</f>
        <v>0</v>
      </c>
      <c r="Q42" s="80">
        <f>P42/40</f>
        <v>0</v>
      </c>
      <c r="T42" s="10">
        <v>40</v>
      </c>
      <c r="U42" s="80"/>
      <c r="V42" s="80">
        <f>SUM(U3:U42)</f>
        <v>0</v>
      </c>
      <c r="W42" s="80">
        <f>V42/40</f>
        <v>0</v>
      </c>
      <c r="X42" s="80"/>
      <c r="Z42" s="10">
        <v>40</v>
      </c>
      <c r="AA42" s="80"/>
      <c r="AB42" s="80">
        <f>SUM(AA3:AA42)</f>
        <v>0</v>
      </c>
      <c r="AC42" s="80">
        <f>AB42/40</f>
        <v>0</v>
      </c>
    </row>
    <row r="43" spans="1:29" ht="12.75">
      <c r="A43" s="10">
        <v>41</v>
      </c>
      <c r="B43" s="80">
        <v>267</v>
      </c>
      <c r="C43" s="80">
        <f>SUM(B3:B43)</f>
        <v>10359</v>
      </c>
      <c r="D43" s="80">
        <f>C43/41</f>
        <v>252.65853658536585</v>
      </c>
      <c r="E43" s="80"/>
      <c r="F43" s="80"/>
      <c r="H43" s="10">
        <v>41</v>
      </c>
      <c r="I43" s="80"/>
      <c r="J43" s="80">
        <f>SUM(I3:I43)</f>
        <v>0</v>
      </c>
      <c r="K43" s="80">
        <f>J43/41</f>
        <v>0</v>
      </c>
      <c r="L43" s="80"/>
      <c r="M43" s="80"/>
      <c r="N43" s="10">
        <v>41</v>
      </c>
      <c r="O43" s="80"/>
      <c r="P43" s="80">
        <f>SUM(O3:O43)</f>
        <v>0</v>
      </c>
      <c r="Q43" s="80">
        <f>P43/41</f>
        <v>0</v>
      </c>
      <c r="T43" s="10">
        <v>41</v>
      </c>
      <c r="U43" s="80"/>
      <c r="V43" s="80">
        <f>SUM(U3:U43)</f>
        <v>0</v>
      </c>
      <c r="W43" s="80">
        <f>V43/41</f>
        <v>0</v>
      </c>
      <c r="X43" s="80"/>
      <c r="Z43" s="10">
        <v>41</v>
      </c>
      <c r="AA43" s="80"/>
      <c r="AB43" s="80">
        <f>SUM(AA3:AA43)</f>
        <v>0</v>
      </c>
      <c r="AC43" s="80">
        <f>AB43/41</f>
        <v>0</v>
      </c>
    </row>
    <row r="44" spans="1:29" ht="12.75">
      <c r="A44" s="10">
        <v>42</v>
      </c>
      <c r="B44" s="80">
        <v>259</v>
      </c>
      <c r="C44" s="80">
        <f>SUM(B3:B44)</f>
        <v>10618</v>
      </c>
      <c r="D44" s="80">
        <f>C44/42</f>
        <v>252.8095238095238</v>
      </c>
      <c r="E44" s="80"/>
      <c r="F44" s="80"/>
      <c r="H44" s="10">
        <v>42</v>
      </c>
      <c r="I44" s="80"/>
      <c r="J44" s="80">
        <f>SUM(I3:I44)</f>
        <v>0</v>
      </c>
      <c r="K44" s="80">
        <f>J44/42</f>
        <v>0</v>
      </c>
      <c r="L44" s="80"/>
      <c r="M44" s="80"/>
      <c r="N44" s="10">
        <v>42</v>
      </c>
      <c r="O44" s="80"/>
      <c r="P44" s="80">
        <f>SUM(O3:O44)</f>
        <v>0</v>
      </c>
      <c r="Q44" s="80">
        <f>P44/42</f>
        <v>0</v>
      </c>
      <c r="T44" s="10">
        <v>42</v>
      </c>
      <c r="U44" s="80"/>
      <c r="V44" s="80">
        <f>SUM(U3:U44)</f>
        <v>0</v>
      </c>
      <c r="W44" s="80">
        <f>V44/42</f>
        <v>0</v>
      </c>
      <c r="X44" s="80"/>
      <c r="Z44" s="10">
        <v>42</v>
      </c>
      <c r="AA44" s="80"/>
      <c r="AB44" s="80">
        <f>SUM(AA3:AA44)</f>
        <v>0</v>
      </c>
      <c r="AC44" s="80">
        <f>AB44/42</f>
        <v>0</v>
      </c>
    </row>
    <row r="45" spans="1:29" ht="12.75">
      <c r="A45" s="10">
        <v>43</v>
      </c>
      <c r="B45" s="80">
        <v>289</v>
      </c>
      <c r="C45" s="80">
        <f>SUM(B3:B45)</f>
        <v>10907</v>
      </c>
      <c r="D45" s="80">
        <f>C45/43</f>
        <v>253.65116279069767</v>
      </c>
      <c r="E45" s="80"/>
      <c r="F45" s="80"/>
      <c r="H45" s="10">
        <v>43</v>
      </c>
      <c r="I45" s="80"/>
      <c r="J45" s="80">
        <f>SUM(I3:I45)</f>
        <v>0</v>
      </c>
      <c r="K45" s="80">
        <f>J45/43</f>
        <v>0</v>
      </c>
      <c r="L45" s="80"/>
      <c r="M45" s="80"/>
      <c r="N45" s="10">
        <v>43</v>
      </c>
      <c r="O45" s="80"/>
      <c r="P45" s="80">
        <f>SUM(O3:O45)</f>
        <v>0</v>
      </c>
      <c r="Q45" s="80">
        <f>P45/43</f>
        <v>0</v>
      </c>
      <c r="T45" s="10">
        <v>43</v>
      </c>
      <c r="U45" s="80"/>
      <c r="V45" s="80">
        <f>SUM(U3:U45)</f>
        <v>0</v>
      </c>
      <c r="W45" s="80">
        <f>V45/43</f>
        <v>0</v>
      </c>
      <c r="X45" s="80"/>
      <c r="Z45" s="10">
        <v>43</v>
      </c>
      <c r="AA45" s="80"/>
      <c r="AB45" s="80">
        <f>SUM(AA3:AA45)</f>
        <v>0</v>
      </c>
      <c r="AC45" s="80">
        <f>AB45/43</f>
        <v>0</v>
      </c>
    </row>
    <row r="46" spans="1:29" ht="12.75">
      <c r="A46" s="10">
        <v>44</v>
      </c>
      <c r="B46" s="80">
        <v>276</v>
      </c>
      <c r="C46" s="80">
        <f>SUM(B3:B46)</f>
        <v>11183</v>
      </c>
      <c r="D46" s="80">
        <f>C46/44</f>
        <v>254.1590909090909</v>
      </c>
      <c r="E46" s="80"/>
      <c r="F46" s="80"/>
      <c r="H46" s="10">
        <v>44</v>
      </c>
      <c r="I46" s="80"/>
      <c r="J46" s="80">
        <f>SUM(I3:I46)</f>
        <v>0</v>
      </c>
      <c r="K46" s="80">
        <f>J46/44</f>
        <v>0</v>
      </c>
      <c r="L46" s="80"/>
      <c r="M46" s="80"/>
      <c r="N46" s="10">
        <v>44</v>
      </c>
      <c r="O46" s="80"/>
      <c r="P46" s="80">
        <f>SUM(O3:O46)</f>
        <v>0</v>
      </c>
      <c r="Q46" s="80">
        <f>P46/44</f>
        <v>0</v>
      </c>
      <c r="T46" s="10">
        <v>44</v>
      </c>
      <c r="U46" s="80"/>
      <c r="V46" s="80">
        <f>SUM(U3:U46)</f>
        <v>0</v>
      </c>
      <c r="W46" s="80">
        <f>V46/44</f>
        <v>0</v>
      </c>
      <c r="X46" s="80"/>
      <c r="Z46" s="10">
        <v>44</v>
      </c>
      <c r="AA46" s="80"/>
      <c r="AB46" s="80">
        <f>SUM(AA3:AA46)</f>
        <v>0</v>
      </c>
      <c r="AC46" s="80">
        <f>AB46/44</f>
        <v>0</v>
      </c>
    </row>
    <row r="47" spans="1:29" ht="12.75">
      <c r="A47" s="10">
        <v>45</v>
      </c>
      <c r="B47" s="80">
        <v>274</v>
      </c>
      <c r="C47" s="80">
        <f>SUM(B3:B47)</f>
        <v>11457</v>
      </c>
      <c r="D47" s="80">
        <f>C47/45</f>
        <v>254.6</v>
      </c>
      <c r="E47" s="80"/>
      <c r="F47" s="80"/>
      <c r="H47" s="10">
        <v>45</v>
      </c>
      <c r="I47" s="80"/>
      <c r="J47" s="80">
        <f>SUM(I3:I47)</f>
        <v>0</v>
      </c>
      <c r="K47" s="80">
        <f>J47/45</f>
        <v>0</v>
      </c>
      <c r="L47" s="80"/>
      <c r="M47" s="80"/>
      <c r="N47" s="10">
        <v>45</v>
      </c>
      <c r="O47" s="80"/>
      <c r="P47" s="80">
        <f>SUM(O3:O47)</f>
        <v>0</v>
      </c>
      <c r="Q47" s="80">
        <f>P47/45</f>
        <v>0</v>
      </c>
      <c r="T47" s="10">
        <v>45</v>
      </c>
      <c r="U47" s="80"/>
      <c r="V47" s="80">
        <f>SUM(U3:U47)</f>
        <v>0</v>
      </c>
      <c r="W47" s="80">
        <f>V47/45</f>
        <v>0</v>
      </c>
      <c r="X47" s="80"/>
      <c r="Z47" s="10">
        <v>45</v>
      </c>
      <c r="AA47" s="80"/>
      <c r="AB47" s="80">
        <f>SUM(AA3:AA47)</f>
        <v>0</v>
      </c>
      <c r="AC47" s="80">
        <f>AB47/45</f>
        <v>0</v>
      </c>
    </row>
    <row r="48" spans="1:29" ht="12.75">
      <c r="A48" s="10">
        <v>46</v>
      </c>
      <c r="B48" s="80">
        <v>278</v>
      </c>
      <c r="C48" s="80">
        <f>SUM(B3:B48)</f>
        <v>11735</v>
      </c>
      <c r="D48" s="80">
        <f>C48/46</f>
        <v>255.1086956521739</v>
      </c>
      <c r="E48" s="80"/>
      <c r="F48" s="80"/>
      <c r="H48" s="10">
        <v>46</v>
      </c>
      <c r="I48" s="80"/>
      <c r="J48" s="80">
        <f>SUM(I3:I48)</f>
        <v>0</v>
      </c>
      <c r="K48" s="80">
        <f>J48/46</f>
        <v>0</v>
      </c>
      <c r="L48" s="80"/>
      <c r="M48" s="80"/>
      <c r="N48" s="10">
        <v>46</v>
      </c>
      <c r="O48" s="80"/>
      <c r="P48" s="80">
        <f>SUM(O3:O48)</f>
        <v>0</v>
      </c>
      <c r="Q48" s="80">
        <f>P48/46</f>
        <v>0</v>
      </c>
      <c r="T48" s="10">
        <v>46</v>
      </c>
      <c r="U48" s="80"/>
      <c r="V48" s="80">
        <f>SUM(U3:U48)</f>
        <v>0</v>
      </c>
      <c r="W48" s="80">
        <f>V48/46</f>
        <v>0</v>
      </c>
      <c r="X48" s="80"/>
      <c r="Z48" s="10">
        <v>46</v>
      </c>
      <c r="AA48" s="80"/>
      <c r="AB48" s="80">
        <f>SUM(AA3:AA48)</f>
        <v>0</v>
      </c>
      <c r="AC48" s="80">
        <f>AB48/46</f>
        <v>0</v>
      </c>
    </row>
    <row r="49" spans="1:29" ht="12.75">
      <c r="A49" s="10">
        <v>47</v>
      </c>
      <c r="B49" s="80">
        <v>254</v>
      </c>
      <c r="C49" s="80">
        <f>SUM(B3:B49)</f>
        <v>11989</v>
      </c>
      <c r="D49" s="80">
        <f>C49/47</f>
        <v>255.08510638297872</v>
      </c>
      <c r="E49" s="80"/>
      <c r="F49" s="80"/>
      <c r="H49" s="10">
        <v>47</v>
      </c>
      <c r="I49" s="80"/>
      <c r="J49" s="80">
        <f>SUM(I3:I49)</f>
        <v>0</v>
      </c>
      <c r="K49" s="80">
        <f>J49/47</f>
        <v>0</v>
      </c>
      <c r="L49" s="80"/>
      <c r="M49" s="80"/>
      <c r="N49" s="10">
        <v>47</v>
      </c>
      <c r="O49" s="80"/>
      <c r="P49" s="80">
        <f>SUM(O3:O49)</f>
        <v>0</v>
      </c>
      <c r="Q49" s="80">
        <f>P49/47</f>
        <v>0</v>
      </c>
      <c r="T49" s="10">
        <v>47</v>
      </c>
      <c r="U49" s="80"/>
      <c r="V49" s="80">
        <f>SUM(U3:U49)</f>
        <v>0</v>
      </c>
      <c r="W49" s="80">
        <f>V49/47</f>
        <v>0</v>
      </c>
      <c r="X49" s="80"/>
      <c r="Z49" s="10">
        <v>47</v>
      </c>
      <c r="AA49" s="80"/>
      <c r="AB49" s="80">
        <f>SUM(AA3:AA49)</f>
        <v>0</v>
      </c>
      <c r="AC49" s="80">
        <f>AB49/47</f>
        <v>0</v>
      </c>
    </row>
    <row r="50" spans="1:29" ht="12.75">
      <c r="A50" s="10">
        <v>48</v>
      </c>
      <c r="B50" s="80">
        <v>243</v>
      </c>
      <c r="C50" s="80">
        <f>SUM(B3:B50)</f>
        <v>12232</v>
      </c>
      <c r="D50" s="80">
        <f>C50/48</f>
        <v>254.83333333333334</v>
      </c>
      <c r="E50" s="80"/>
      <c r="F50" s="80"/>
      <c r="H50" s="10">
        <v>48</v>
      </c>
      <c r="I50" s="80"/>
      <c r="J50" s="80">
        <f>SUM(I3:I50)</f>
        <v>0</v>
      </c>
      <c r="K50" s="80">
        <f>J50/48</f>
        <v>0</v>
      </c>
      <c r="L50" s="80"/>
      <c r="M50" s="80"/>
      <c r="N50" s="10">
        <v>48</v>
      </c>
      <c r="O50" s="80"/>
      <c r="P50" s="80">
        <f>SUM(O3:O50)</f>
        <v>0</v>
      </c>
      <c r="Q50" s="80">
        <f>P50/48</f>
        <v>0</v>
      </c>
      <c r="T50" s="10">
        <v>48</v>
      </c>
      <c r="U50" s="80"/>
      <c r="V50" s="80">
        <f>SUM(U3:U50)</f>
        <v>0</v>
      </c>
      <c r="W50" s="80">
        <f>V50/48</f>
        <v>0</v>
      </c>
      <c r="X50" s="80"/>
      <c r="Z50" s="10">
        <v>48</v>
      </c>
      <c r="AA50" s="80"/>
      <c r="AB50" s="80">
        <f>SUM(AA3:AA50)</f>
        <v>0</v>
      </c>
      <c r="AC50" s="80">
        <f>AB50/48</f>
        <v>0</v>
      </c>
    </row>
    <row r="51" spans="1:29" ht="12.75">
      <c r="A51" s="10">
        <v>49</v>
      </c>
      <c r="B51" s="80">
        <v>287</v>
      </c>
      <c r="C51" s="80">
        <f>SUM(B3:B51)</f>
        <v>12519</v>
      </c>
      <c r="D51" s="80">
        <f>C51/49</f>
        <v>255.48979591836735</v>
      </c>
      <c r="E51" s="80"/>
      <c r="F51" s="80"/>
      <c r="H51" s="10">
        <v>49</v>
      </c>
      <c r="I51" s="80"/>
      <c r="J51" s="80">
        <f>SUM(I3:I51)</f>
        <v>0</v>
      </c>
      <c r="K51" s="80">
        <f>J51/49</f>
        <v>0</v>
      </c>
      <c r="L51" s="80"/>
      <c r="M51" s="80"/>
      <c r="N51" s="10">
        <v>49</v>
      </c>
      <c r="O51" s="80"/>
      <c r="P51" s="80">
        <f>SUM(O3:O51)</f>
        <v>0</v>
      </c>
      <c r="Q51" s="80">
        <f>P51/49</f>
        <v>0</v>
      </c>
      <c r="T51" s="10">
        <v>49</v>
      </c>
      <c r="U51" s="80"/>
      <c r="V51" s="80">
        <f>SUM(U3:U51)</f>
        <v>0</v>
      </c>
      <c r="W51" s="80">
        <f>V51/49</f>
        <v>0</v>
      </c>
      <c r="X51" s="80"/>
      <c r="Z51" s="10">
        <v>49</v>
      </c>
      <c r="AA51" s="80"/>
      <c r="AB51" s="80">
        <f>SUM(AA3:AA51)</f>
        <v>0</v>
      </c>
      <c r="AC51" s="80">
        <f>AB51/49</f>
        <v>0</v>
      </c>
    </row>
    <row r="52" spans="1:29" ht="12.75">
      <c r="A52" s="10">
        <v>50</v>
      </c>
      <c r="B52" s="80">
        <v>279</v>
      </c>
      <c r="C52" s="80">
        <f>SUM(B3:B52)</f>
        <v>12798</v>
      </c>
      <c r="D52" s="80">
        <f>C52/50</f>
        <v>255.96</v>
      </c>
      <c r="E52" s="80"/>
      <c r="F52" s="80"/>
      <c r="H52" s="10">
        <v>50</v>
      </c>
      <c r="I52" s="80"/>
      <c r="J52" s="80">
        <f>SUM(I3:I52)</f>
        <v>0</v>
      </c>
      <c r="K52" s="80">
        <f>J52/50</f>
        <v>0</v>
      </c>
      <c r="L52" s="80"/>
      <c r="M52" s="80"/>
      <c r="N52" s="10">
        <v>50</v>
      </c>
      <c r="O52" s="80"/>
      <c r="P52" s="80">
        <f>SUM(O3:O52)</f>
        <v>0</v>
      </c>
      <c r="Q52" s="80">
        <f>P52/50</f>
        <v>0</v>
      </c>
      <c r="T52" s="10">
        <v>50</v>
      </c>
      <c r="U52" s="80"/>
      <c r="V52" s="80">
        <f>SUM(U3:U52)</f>
        <v>0</v>
      </c>
      <c r="W52" s="80">
        <f>V52/50</f>
        <v>0</v>
      </c>
      <c r="X52" s="80"/>
      <c r="Z52" s="10">
        <v>50</v>
      </c>
      <c r="AA52" s="80"/>
      <c r="AB52" s="80">
        <f>SUM(AA3:AA52)</f>
        <v>0</v>
      </c>
      <c r="AC52" s="80">
        <f>AB52/50</f>
        <v>0</v>
      </c>
    </row>
    <row r="53" spans="1:29" ht="12.75">
      <c r="A53" s="10">
        <v>51</v>
      </c>
      <c r="B53" s="80">
        <v>356</v>
      </c>
      <c r="C53" s="80">
        <f>SUM(B3:B53)</f>
        <v>13154</v>
      </c>
      <c r="D53" s="80">
        <f>C53/51</f>
        <v>257.921568627451</v>
      </c>
      <c r="E53" s="80"/>
      <c r="F53" s="80"/>
      <c r="H53" s="10">
        <v>51</v>
      </c>
      <c r="I53" s="80"/>
      <c r="J53" s="80">
        <f>SUM(I3:I53)</f>
        <v>0</v>
      </c>
      <c r="K53" s="80">
        <f>J53/51</f>
        <v>0</v>
      </c>
      <c r="L53" s="80"/>
      <c r="M53" s="80"/>
      <c r="N53" s="10">
        <v>51</v>
      </c>
      <c r="O53" s="80"/>
      <c r="P53" s="80">
        <f>SUM(O3:O53)</f>
        <v>0</v>
      </c>
      <c r="Q53" s="80">
        <f>P53/51</f>
        <v>0</v>
      </c>
      <c r="T53" s="10">
        <v>51</v>
      </c>
      <c r="U53" s="80"/>
      <c r="V53" s="80">
        <f>SUM(U3:U53)</f>
        <v>0</v>
      </c>
      <c r="W53" s="80">
        <f>V53/51</f>
        <v>0</v>
      </c>
      <c r="X53" s="80"/>
      <c r="Z53" s="10">
        <v>51</v>
      </c>
      <c r="AA53" s="80"/>
      <c r="AB53" s="80">
        <f>SUM(AA3:AA53)</f>
        <v>0</v>
      </c>
      <c r="AC53" s="80">
        <f>AB53/51</f>
        <v>0</v>
      </c>
    </row>
    <row r="54" spans="1:29" ht="12.75">
      <c r="A54" s="10">
        <v>52</v>
      </c>
      <c r="B54" s="80">
        <v>287</v>
      </c>
      <c r="C54" s="80">
        <f>SUM(B3:B54)</f>
        <v>13441</v>
      </c>
      <c r="D54" s="82">
        <f>C54/52</f>
        <v>258.4807692307692</v>
      </c>
      <c r="E54" s="82"/>
      <c r="F54" s="82"/>
      <c r="H54" s="10">
        <v>52</v>
      </c>
      <c r="I54" s="80"/>
      <c r="J54" s="80">
        <f>SUM(I3:I54)</f>
        <v>0</v>
      </c>
      <c r="K54" s="82">
        <f>J54/52</f>
        <v>0</v>
      </c>
      <c r="L54" s="80"/>
      <c r="M54" s="80"/>
      <c r="N54" s="10">
        <v>52</v>
      </c>
      <c r="O54" s="80"/>
      <c r="P54" s="80">
        <f>SUM(O3:O54)</f>
        <v>0</v>
      </c>
      <c r="Q54" s="82">
        <f>P54/52</f>
        <v>0</v>
      </c>
      <c r="T54" s="10">
        <v>52</v>
      </c>
      <c r="U54" s="80"/>
      <c r="V54" s="80">
        <f>SUM(U3:U54)</f>
        <v>0</v>
      </c>
      <c r="W54" s="82">
        <f>V54/52</f>
        <v>0</v>
      </c>
      <c r="X54" s="80"/>
      <c r="Z54" s="10">
        <v>52</v>
      </c>
      <c r="AA54" s="80"/>
      <c r="AB54" s="80">
        <f>SUM(AA3:AA54)</f>
        <v>0</v>
      </c>
      <c r="AC54" s="82">
        <f>AB54/52</f>
        <v>0</v>
      </c>
    </row>
    <row r="55" spans="4:6" ht="12.75">
      <c r="D55" s="83"/>
      <c r="E55" s="83"/>
      <c r="F55" s="83"/>
    </row>
  </sheetData>
  <mergeCells count="5">
    <mergeCell ref="Z1:AC1"/>
    <mergeCell ref="A1:D1"/>
    <mergeCell ref="H1:K1"/>
    <mergeCell ref="N1:Q1"/>
    <mergeCell ref="T1:W1"/>
  </mergeCells>
  <printOptions horizontalCentered="1"/>
  <pageMargins left="0.75" right="0.75" top="1" bottom="1" header="0.5" footer="0.5"/>
  <pageSetup horizontalDpi="600" verticalDpi="600" orientation="portrait" scale="93" r:id="rId3"/>
  <headerFooter alignWithMargins="0">
    <oddHeader>&amp;CUNPROOFED DRAFT--NOT FOR SALE OR DISTRIBUTION</oddHeader>
    <oddFooter>&amp;C&amp;8&amp;A &amp;P
From &amp;"Arial,Italic"Effectiveness by the Numbers&amp;"Arial,Regular" by William R. Hoyt Copyright 2007 by Abingdon Press. Reproduced by permission.</oddFooter>
  </headerFooter>
  <colBreaks count="4" manualBreakCount="4">
    <brk id="6" max="65535" man="1"/>
    <brk id="12" max="65535" man="1"/>
    <brk id="18" max="65535" man="1"/>
    <brk id="24" max="65535" man="1"/>
  </colBreaks>
  <legacyDrawing r:id="rId2"/>
</worksheet>
</file>

<file path=xl/worksheets/sheet4.xml><?xml version="1.0" encoding="utf-8"?>
<worksheet xmlns="http://schemas.openxmlformats.org/spreadsheetml/2006/main" xmlns:r="http://schemas.openxmlformats.org/officeDocument/2006/relationships">
  <dimension ref="A1:E6"/>
  <sheetViews>
    <sheetView workbookViewId="0" topLeftCell="A1">
      <selection activeCell="A1" sqref="A1"/>
    </sheetView>
  </sheetViews>
  <sheetFormatPr defaultColWidth="9.140625" defaultRowHeight="12.75"/>
  <cols>
    <col min="2" max="2" width="14.00390625" style="0" customWidth="1"/>
    <col min="3" max="3" width="16.00390625" style="0" bestFit="1" customWidth="1"/>
    <col min="4" max="4" width="15.421875" style="0" customWidth="1"/>
  </cols>
  <sheetData>
    <row r="1" spans="1:5" ht="51.75" thickBot="1">
      <c r="A1" s="51" t="s">
        <v>26</v>
      </c>
      <c r="B1" s="72" t="s">
        <v>25</v>
      </c>
      <c r="C1" s="72" t="s">
        <v>64</v>
      </c>
      <c r="D1" s="73" t="s">
        <v>13</v>
      </c>
      <c r="E1" s="23"/>
    </row>
    <row r="2" spans="1:5" ht="13.5" thickTop="1">
      <c r="A2" s="10">
        <v>2007</v>
      </c>
      <c r="B2" s="19">
        <v>1500</v>
      </c>
      <c r="C2" s="10">
        <v>150</v>
      </c>
      <c r="D2" s="20">
        <f>C2/B2</f>
        <v>0.1</v>
      </c>
      <c r="E2" s="24"/>
    </row>
    <row r="3" spans="1:5" ht="12.75">
      <c r="A3" s="10">
        <v>2008</v>
      </c>
      <c r="B3" s="19">
        <v>1525</v>
      </c>
      <c r="C3" s="10">
        <v>175</v>
      </c>
      <c r="D3" s="20">
        <f>C3/B3</f>
        <v>0.11475409836065574</v>
      </c>
      <c r="E3" s="14"/>
    </row>
    <row r="4" spans="1:5" ht="12.75">
      <c r="A4" s="10">
        <v>2009</v>
      </c>
      <c r="B4" s="19">
        <v>1525</v>
      </c>
      <c r="C4" s="10">
        <v>195</v>
      </c>
      <c r="D4" s="20">
        <f>C4/B4</f>
        <v>0.12786885245901639</v>
      </c>
      <c r="E4" s="14"/>
    </row>
    <row r="5" spans="1:5" ht="12.75">
      <c r="A5" s="10">
        <v>2010</v>
      </c>
      <c r="B5" s="19">
        <v>1550</v>
      </c>
      <c r="C5" s="10">
        <v>220</v>
      </c>
      <c r="D5" s="20">
        <f>C5/B5</f>
        <v>0.14193548387096774</v>
      </c>
      <c r="E5" s="14"/>
    </row>
    <row r="6" spans="1:5" ht="12.75">
      <c r="A6" s="10">
        <v>2011</v>
      </c>
      <c r="B6" s="19">
        <v>1550</v>
      </c>
      <c r="C6" s="10">
        <v>250</v>
      </c>
      <c r="D6" s="20">
        <f>C6/B6</f>
        <v>0.16129032258064516</v>
      </c>
      <c r="E6" s="14"/>
    </row>
  </sheetData>
  <printOptions/>
  <pageMargins left="0.75" right="0.75" top="1" bottom="1" header="0.5" footer="0.5"/>
  <pageSetup horizontalDpi="300" verticalDpi="300" orientation="portrait" r:id="rId3"/>
  <headerFooter alignWithMargins="0">
    <oddHeader>&amp;CUNPROOFED DRAFT--NOT FOR SALE OR DISTRIBUTION</oddHeader>
    <oddFooter>&amp;C&amp;8&amp;A &amp;P
From &amp;"Arial,Italic"Effectiveness by the Numbers&amp;"Arial,Regular" by William R. Hoyt Copyright 2007 by Abingdon Press. Reproduced by permission.</oddFooter>
  </headerFooter>
  <legacyDrawing r:id="rId2"/>
</worksheet>
</file>

<file path=xl/worksheets/sheet5.xml><?xml version="1.0" encoding="utf-8"?>
<worksheet xmlns="http://schemas.openxmlformats.org/spreadsheetml/2006/main" xmlns:r="http://schemas.openxmlformats.org/officeDocument/2006/relationships">
  <dimension ref="A1:BF26"/>
  <sheetViews>
    <sheetView workbookViewId="0" topLeftCell="A1">
      <selection activeCell="A1" sqref="A1"/>
    </sheetView>
  </sheetViews>
  <sheetFormatPr defaultColWidth="9.140625" defaultRowHeight="12.75"/>
  <cols>
    <col min="1" max="1" width="10.28125" style="25" customWidth="1"/>
    <col min="2" max="2" width="10.7109375" style="25" bestFit="1" customWidth="1"/>
    <col min="3" max="15" width="6.421875" style="25" customWidth="1"/>
    <col min="16" max="16" width="7.8515625" style="25" bestFit="1" customWidth="1"/>
    <col min="17" max="29" width="6.421875" style="25" customWidth="1"/>
    <col min="30" max="30" width="7.8515625" style="25" bestFit="1" customWidth="1"/>
    <col min="31" max="43" width="6.421875" style="25" customWidth="1"/>
    <col min="44" max="44" width="7.8515625" style="25" bestFit="1" customWidth="1"/>
    <col min="45" max="57" width="6.421875" style="25" customWidth="1"/>
    <col min="58" max="58" width="7.8515625" style="25" bestFit="1" customWidth="1"/>
    <col min="59" max="59" width="11.140625" style="25" bestFit="1" customWidth="1"/>
    <col min="60" max="16384" width="9.140625" style="25" customWidth="1"/>
  </cols>
  <sheetData>
    <row r="1" spans="1:58" s="92" customFormat="1" ht="39" thickBot="1">
      <c r="A1" s="91" t="s">
        <v>0</v>
      </c>
      <c r="B1" s="72" t="s">
        <v>1</v>
      </c>
      <c r="C1" s="72" t="s">
        <v>65</v>
      </c>
      <c r="D1" s="72" t="s">
        <v>66</v>
      </c>
      <c r="E1" s="72" t="s">
        <v>67</v>
      </c>
      <c r="F1" s="72" t="s">
        <v>68</v>
      </c>
      <c r="G1" s="72" t="s">
        <v>69</v>
      </c>
      <c r="H1" s="72" t="s">
        <v>70</v>
      </c>
      <c r="I1" s="72" t="s">
        <v>71</v>
      </c>
      <c r="J1" s="72" t="s">
        <v>72</v>
      </c>
      <c r="K1" s="72" t="s">
        <v>73</v>
      </c>
      <c r="L1" s="72" t="s">
        <v>74</v>
      </c>
      <c r="M1" s="72" t="s">
        <v>75</v>
      </c>
      <c r="N1" s="72" t="s">
        <v>76</v>
      </c>
      <c r="O1" s="72" t="s">
        <v>77</v>
      </c>
      <c r="P1" s="72" t="s">
        <v>120</v>
      </c>
      <c r="Q1" s="72" t="s">
        <v>78</v>
      </c>
      <c r="R1" s="72" t="s">
        <v>79</v>
      </c>
      <c r="S1" s="72" t="s">
        <v>80</v>
      </c>
      <c r="T1" s="72" t="s">
        <v>81</v>
      </c>
      <c r="U1" s="72" t="s">
        <v>82</v>
      </c>
      <c r="V1" s="72" t="s">
        <v>83</v>
      </c>
      <c r="W1" s="72" t="s">
        <v>116</v>
      </c>
      <c r="X1" s="72" t="s">
        <v>115</v>
      </c>
      <c r="Y1" s="72" t="s">
        <v>114</v>
      </c>
      <c r="Z1" s="72" t="s">
        <v>113</v>
      </c>
      <c r="AA1" s="72" t="s">
        <v>112</v>
      </c>
      <c r="AB1" s="72" t="s">
        <v>111</v>
      </c>
      <c r="AC1" s="72" t="s">
        <v>110</v>
      </c>
      <c r="AD1" s="72" t="s">
        <v>119</v>
      </c>
      <c r="AE1" s="72" t="s">
        <v>109</v>
      </c>
      <c r="AF1" s="72" t="s">
        <v>108</v>
      </c>
      <c r="AG1" s="72" t="s">
        <v>107</v>
      </c>
      <c r="AH1" s="72" t="s">
        <v>106</v>
      </c>
      <c r="AI1" s="72" t="s">
        <v>105</v>
      </c>
      <c r="AJ1" s="72" t="s">
        <v>104</v>
      </c>
      <c r="AK1" s="72" t="s">
        <v>103</v>
      </c>
      <c r="AL1" s="72" t="s">
        <v>102</v>
      </c>
      <c r="AM1" s="72" t="s">
        <v>101</v>
      </c>
      <c r="AN1" s="72" t="s">
        <v>100</v>
      </c>
      <c r="AO1" s="72" t="s">
        <v>99</v>
      </c>
      <c r="AP1" s="72" t="s">
        <v>98</v>
      </c>
      <c r="AQ1" s="72" t="s">
        <v>97</v>
      </c>
      <c r="AR1" s="72" t="s">
        <v>121</v>
      </c>
      <c r="AS1" s="72" t="s">
        <v>96</v>
      </c>
      <c r="AT1" s="72" t="s">
        <v>95</v>
      </c>
      <c r="AU1" s="72" t="s">
        <v>94</v>
      </c>
      <c r="AV1" s="72" t="s">
        <v>93</v>
      </c>
      <c r="AW1" s="72" t="s">
        <v>92</v>
      </c>
      <c r="AX1" s="72" t="s">
        <v>91</v>
      </c>
      <c r="AY1" s="72" t="s">
        <v>90</v>
      </c>
      <c r="AZ1" s="72" t="s">
        <v>89</v>
      </c>
      <c r="BA1" s="72" t="s">
        <v>88</v>
      </c>
      <c r="BB1" s="72" t="s">
        <v>87</v>
      </c>
      <c r="BC1" s="72" t="s">
        <v>86</v>
      </c>
      <c r="BD1" s="72" t="s">
        <v>85</v>
      </c>
      <c r="BE1" s="72" t="s">
        <v>84</v>
      </c>
      <c r="BF1" s="73" t="s">
        <v>122</v>
      </c>
    </row>
    <row r="2" spans="1:58" ht="13.5" thickTop="1">
      <c r="A2" s="25" t="s">
        <v>46</v>
      </c>
      <c r="B2" s="25" t="s">
        <v>47</v>
      </c>
      <c r="C2" s="25">
        <v>1</v>
      </c>
      <c r="D2" s="25">
        <v>1</v>
      </c>
      <c r="E2" s="25">
        <v>1</v>
      </c>
      <c r="G2" s="25">
        <v>1</v>
      </c>
      <c r="H2" s="25">
        <v>1</v>
      </c>
      <c r="I2" s="25">
        <v>1</v>
      </c>
      <c r="K2" s="25">
        <v>1</v>
      </c>
      <c r="M2" s="25">
        <v>1</v>
      </c>
      <c r="N2" s="25">
        <v>1</v>
      </c>
      <c r="P2" s="93">
        <f aca="true" t="shared" si="0" ref="P2:P9">SUM(C2:O2)/13</f>
        <v>0.6923076923076923</v>
      </c>
      <c r="Q2" s="25">
        <v>1</v>
      </c>
      <c r="R2" s="25">
        <v>1</v>
      </c>
      <c r="S2" s="25">
        <v>1</v>
      </c>
      <c r="T2" s="25">
        <v>1</v>
      </c>
      <c r="U2" s="25">
        <v>1</v>
      </c>
      <c r="V2" s="25">
        <v>1</v>
      </c>
      <c r="W2" s="25">
        <v>1</v>
      </c>
      <c r="X2" s="25">
        <v>1</v>
      </c>
      <c r="Y2" s="25">
        <v>1</v>
      </c>
      <c r="Z2" s="25">
        <v>1</v>
      </c>
      <c r="AA2" s="25">
        <v>1</v>
      </c>
      <c r="AB2" s="25">
        <v>1</v>
      </c>
      <c r="AC2" s="25">
        <v>1</v>
      </c>
      <c r="AD2" s="93">
        <f aca="true" t="shared" si="1" ref="AD2:AD9">(SUM(C2:O2)+SUM(Q2:AC2))/26</f>
        <v>0.8461538461538461</v>
      </c>
      <c r="AE2" s="25">
        <v>1</v>
      </c>
      <c r="AF2" s="25">
        <v>1</v>
      </c>
      <c r="AG2" s="25">
        <v>1</v>
      </c>
      <c r="AH2" s="25">
        <v>1</v>
      </c>
      <c r="AI2" s="25">
        <v>1</v>
      </c>
      <c r="AM2" s="25">
        <v>1</v>
      </c>
      <c r="AN2" s="25">
        <v>1</v>
      </c>
      <c r="AO2" s="25">
        <v>1</v>
      </c>
      <c r="AP2" s="25">
        <v>1</v>
      </c>
      <c r="AQ2" s="25">
        <v>1</v>
      </c>
      <c r="AR2" s="93">
        <f aca="true" t="shared" si="2" ref="AR2:AR9">(SUM(Q2:AC2)+SUM(AE2:AQ2)+SUM(AE2:AQ2))/39</f>
        <v>0.8461538461538461</v>
      </c>
      <c r="AS2" s="25">
        <v>1</v>
      </c>
      <c r="AT2" s="25">
        <v>1</v>
      </c>
      <c r="AU2" s="25">
        <v>1</v>
      </c>
      <c r="AV2" s="25">
        <v>1</v>
      </c>
      <c r="AW2" s="25">
        <v>1</v>
      </c>
      <c r="AX2" s="25">
        <v>1</v>
      </c>
      <c r="AY2" s="25">
        <v>1</v>
      </c>
      <c r="BB2" s="25">
        <v>1</v>
      </c>
      <c r="BC2" s="25">
        <v>1</v>
      </c>
      <c r="BD2" s="25">
        <v>1</v>
      </c>
      <c r="BE2" s="25">
        <v>1</v>
      </c>
      <c r="BF2" s="93">
        <f aca="true" t="shared" si="3" ref="BF2:BF9">(SUM(Q2:AC2)+SUM(AE2:AQ2)+SUM(AE2:AQ2)+SUM(AS2:BE2))/52</f>
        <v>0.8461538461538461</v>
      </c>
    </row>
    <row r="3" spans="1:58" ht="12.75">
      <c r="A3" s="25" t="s">
        <v>46</v>
      </c>
      <c r="B3" s="25" t="s">
        <v>48</v>
      </c>
      <c r="C3" s="25">
        <v>1</v>
      </c>
      <c r="D3" s="25">
        <v>1</v>
      </c>
      <c r="E3" s="25">
        <v>1</v>
      </c>
      <c r="G3" s="25">
        <v>1</v>
      </c>
      <c r="H3" s="25">
        <v>1</v>
      </c>
      <c r="I3" s="25">
        <v>1</v>
      </c>
      <c r="M3" s="25">
        <v>1</v>
      </c>
      <c r="N3" s="25">
        <v>1</v>
      </c>
      <c r="P3" s="93">
        <f t="shared" si="0"/>
        <v>0.6153846153846154</v>
      </c>
      <c r="Q3" s="25">
        <v>1</v>
      </c>
      <c r="R3" s="25">
        <v>1</v>
      </c>
      <c r="S3" s="25">
        <v>1</v>
      </c>
      <c r="T3" s="25">
        <v>1</v>
      </c>
      <c r="V3" s="25">
        <v>1</v>
      </c>
      <c r="Y3" s="25">
        <v>1</v>
      </c>
      <c r="Z3" s="25">
        <v>1</v>
      </c>
      <c r="AA3" s="25">
        <v>1</v>
      </c>
      <c r="AB3" s="25">
        <v>1</v>
      </c>
      <c r="AC3" s="25">
        <v>1</v>
      </c>
      <c r="AD3" s="93">
        <f t="shared" si="1"/>
        <v>0.6923076923076923</v>
      </c>
      <c r="AE3" s="25">
        <v>1</v>
      </c>
      <c r="AF3" s="25">
        <v>1</v>
      </c>
      <c r="AG3" s="25">
        <v>1</v>
      </c>
      <c r="AI3" s="25">
        <v>1</v>
      </c>
      <c r="AM3" s="25">
        <v>1</v>
      </c>
      <c r="AN3" s="25">
        <v>1</v>
      </c>
      <c r="AO3" s="25">
        <v>1</v>
      </c>
      <c r="AP3" s="25">
        <v>1</v>
      </c>
      <c r="AQ3" s="25">
        <v>1</v>
      </c>
      <c r="AR3" s="93">
        <f t="shared" si="2"/>
        <v>0.717948717948718</v>
      </c>
      <c r="AW3" s="25">
        <v>1</v>
      </c>
      <c r="AX3" s="25">
        <v>1</v>
      </c>
      <c r="BB3" s="25">
        <v>1</v>
      </c>
      <c r="BC3" s="25">
        <v>1</v>
      </c>
      <c r="BD3" s="25">
        <v>1</v>
      </c>
      <c r="BE3" s="25">
        <v>1</v>
      </c>
      <c r="BF3" s="93">
        <f t="shared" si="3"/>
        <v>0.6538461538461539</v>
      </c>
    </row>
    <row r="4" spans="1:58" ht="12.75">
      <c r="A4" s="25" t="s">
        <v>49</v>
      </c>
      <c r="B4" s="25" t="s">
        <v>50</v>
      </c>
      <c r="E4" s="25">
        <v>1</v>
      </c>
      <c r="H4" s="25">
        <v>1</v>
      </c>
      <c r="K4" s="25">
        <v>1</v>
      </c>
      <c r="M4" s="25">
        <v>1</v>
      </c>
      <c r="P4" s="93">
        <f t="shared" si="0"/>
        <v>0.3076923076923077</v>
      </c>
      <c r="R4" s="25">
        <v>1</v>
      </c>
      <c r="S4" s="25">
        <v>1</v>
      </c>
      <c r="T4" s="25">
        <v>1</v>
      </c>
      <c r="U4" s="25">
        <v>1</v>
      </c>
      <c r="V4" s="25">
        <v>1</v>
      </c>
      <c r="W4" s="25">
        <v>1</v>
      </c>
      <c r="X4" s="25">
        <v>1</v>
      </c>
      <c r="Y4" s="25">
        <v>1</v>
      </c>
      <c r="AB4" s="25">
        <v>1</v>
      </c>
      <c r="AC4" s="25">
        <v>1</v>
      </c>
      <c r="AD4" s="93">
        <f t="shared" si="1"/>
        <v>0.5384615384615384</v>
      </c>
      <c r="AG4" s="25">
        <v>1</v>
      </c>
      <c r="AH4" s="25">
        <v>1</v>
      </c>
      <c r="AI4" s="25">
        <v>1</v>
      </c>
      <c r="AJ4" s="25">
        <v>1</v>
      </c>
      <c r="AM4" s="25">
        <v>1</v>
      </c>
      <c r="AP4" s="25">
        <v>1</v>
      </c>
      <c r="AR4" s="93">
        <f t="shared" si="2"/>
        <v>0.5641025641025641</v>
      </c>
      <c r="AU4" s="25">
        <v>1</v>
      </c>
      <c r="AV4" s="25">
        <v>1</v>
      </c>
      <c r="AZ4" s="25">
        <v>1</v>
      </c>
      <c r="BA4" s="25">
        <v>1</v>
      </c>
      <c r="BD4" s="25">
        <v>1</v>
      </c>
      <c r="BE4" s="25">
        <v>1</v>
      </c>
      <c r="BF4" s="93">
        <f t="shared" si="3"/>
        <v>0.5384615384615384</v>
      </c>
    </row>
    <row r="5" spans="1:58" ht="12.75">
      <c r="A5" s="25" t="s">
        <v>51</v>
      </c>
      <c r="B5" s="25" t="s">
        <v>52</v>
      </c>
      <c r="D5" s="25">
        <v>1</v>
      </c>
      <c r="E5" s="25">
        <v>1</v>
      </c>
      <c r="F5" s="25">
        <v>1</v>
      </c>
      <c r="I5" s="25">
        <v>1</v>
      </c>
      <c r="L5" s="25">
        <v>1</v>
      </c>
      <c r="O5" s="25">
        <v>1</v>
      </c>
      <c r="P5" s="93">
        <f t="shared" si="0"/>
        <v>0.46153846153846156</v>
      </c>
      <c r="R5" s="25">
        <v>1</v>
      </c>
      <c r="S5" s="25">
        <v>1</v>
      </c>
      <c r="U5" s="25">
        <v>1</v>
      </c>
      <c r="V5" s="25">
        <v>1</v>
      </c>
      <c r="X5" s="25">
        <v>1</v>
      </c>
      <c r="Y5" s="25">
        <v>1</v>
      </c>
      <c r="Z5" s="25">
        <v>1</v>
      </c>
      <c r="AA5" s="25">
        <v>1</v>
      </c>
      <c r="AD5" s="93">
        <f t="shared" si="1"/>
        <v>0.5384615384615384</v>
      </c>
      <c r="AE5" s="25">
        <v>1</v>
      </c>
      <c r="AH5" s="25">
        <v>1</v>
      </c>
      <c r="AJ5" s="25">
        <v>1</v>
      </c>
      <c r="AN5" s="25">
        <v>1</v>
      </c>
      <c r="AQ5" s="25">
        <v>1</v>
      </c>
      <c r="AR5" s="93">
        <f t="shared" si="2"/>
        <v>0.46153846153846156</v>
      </c>
      <c r="BF5" s="93">
        <f t="shared" si="3"/>
        <v>0.34615384615384615</v>
      </c>
    </row>
    <row r="6" spans="1:58" ht="12.75">
      <c r="A6" s="25" t="s">
        <v>51</v>
      </c>
      <c r="B6" s="25" t="s">
        <v>53</v>
      </c>
      <c r="C6" s="25">
        <v>1</v>
      </c>
      <c r="D6" s="25">
        <v>1</v>
      </c>
      <c r="E6" s="25">
        <v>1</v>
      </c>
      <c r="F6" s="25">
        <v>1</v>
      </c>
      <c r="G6" s="25">
        <v>1</v>
      </c>
      <c r="H6" s="25">
        <v>1</v>
      </c>
      <c r="I6" s="25">
        <v>1</v>
      </c>
      <c r="J6" s="25">
        <v>1</v>
      </c>
      <c r="K6" s="25">
        <v>1</v>
      </c>
      <c r="L6" s="25">
        <v>1</v>
      </c>
      <c r="M6" s="25">
        <v>1</v>
      </c>
      <c r="N6" s="25">
        <v>1</v>
      </c>
      <c r="O6" s="25">
        <v>1</v>
      </c>
      <c r="P6" s="93">
        <f t="shared" si="0"/>
        <v>1</v>
      </c>
      <c r="Q6" s="25">
        <v>1</v>
      </c>
      <c r="R6" s="25">
        <v>1</v>
      </c>
      <c r="S6" s="25">
        <v>1</v>
      </c>
      <c r="T6" s="25">
        <v>1</v>
      </c>
      <c r="U6" s="25">
        <v>1</v>
      </c>
      <c r="V6" s="25">
        <v>1</v>
      </c>
      <c r="W6" s="25">
        <v>1</v>
      </c>
      <c r="X6" s="25">
        <v>1</v>
      </c>
      <c r="Y6" s="25">
        <v>1</v>
      </c>
      <c r="Z6" s="25">
        <v>1</v>
      </c>
      <c r="AA6" s="25">
        <v>1</v>
      </c>
      <c r="AB6" s="25">
        <v>1</v>
      </c>
      <c r="AC6" s="25">
        <v>1</v>
      </c>
      <c r="AD6" s="93">
        <f t="shared" si="1"/>
        <v>1</v>
      </c>
      <c r="AE6" s="25">
        <v>1</v>
      </c>
      <c r="AF6" s="25">
        <v>1</v>
      </c>
      <c r="AG6" s="25">
        <v>1</v>
      </c>
      <c r="AH6" s="25">
        <v>1</v>
      </c>
      <c r="AI6" s="25">
        <v>1</v>
      </c>
      <c r="AJ6" s="25">
        <v>1</v>
      </c>
      <c r="AK6" s="25">
        <v>1</v>
      </c>
      <c r="AL6" s="25">
        <v>1</v>
      </c>
      <c r="AQ6" s="25">
        <v>1</v>
      </c>
      <c r="AR6" s="93">
        <f t="shared" si="2"/>
        <v>0.7948717948717948</v>
      </c>
      <c r="AS6" s="25">
        <v>1</v>
      </c>
      <c r="AT6" s="25">
        <v>1</v>
      </c>
      <c r="AU6" s="25">
        <v>1</v>
      </c>
      <c r="AW6" s="25">
        <v>1</v>
      </c>
      <c r="AY6" s="25">
        <v>1</v>
      </c>
      <c r="AZ6" s="25">
        <v>1</v>
      </c>
      <c r="BA6" s="25">
        <v>1</v>
      </c>
      <c r="BF6" s="93">
        <f t="shared" si="3"/>
        <v>0.7307692307692307</v>
      </c>
    </row>
    <row r="7" spans="1:58" ht="12.75">
      <c r="A7" s="25" t="s">
        <v>54</v>
      </c>
      <c r="B7" s="25" t="s">
        <v>55</v>
      </c>
      <c r="F7" s="25">
        <v>1</v>
      </c>
      <c r="G7" s="25">
        <v>1</v>
      </c>
      <c r="H7" s="25">
        <v>1</v>
      </c>
      <c r="J7" s="25">
        <v>1</v>
      </c>
      <c r="K7" s="25">
        <v>1</v>
      </c>
      <c r="N7" s="25">
        <v>1</v>
      </c>
      <c r="P7" s="93">
        <f t="shared" si="0"/>
        <v>0.46153846153846156</v>
      </c>
      <c r="Q7" s="25">
        <v>1</v>
      </c>
      <c r="R7" s="25">
        <v>1</v>
      </c>
      <c r="T7" s="25">
        <v>1</v>
      </c>
      <c r="U7" s="25">
        <v>1</v>
      </c>
      <c r="W7" s="25">
        <v>1</v>
      </c>
      <c r="X7" s="25">
        <v>1</v>
      </c>
      <c r="Z7" s="25">
        <v>1</v>
      </c>
      <c r="AA7" s="25">
        <v>1</v>
      </c>
      <c r="AB7" s="25">
        <v>1</v>
      </c>
      <c r="AD7" s="93">
        <f t="shared" si="1"/>
        <v>0.5769230769230769</v>
      </c>
      <c r="AG7" s="25">
        <v>1</v>
      </c>
      <c r="AK7" s="25">
        <v>1</v>
      </c>
      <c r="AL7" s="25">
        <v>1</v>
      </c>
      <c r="AM7" s="25">
        <v>1</v>
      </c>
      <c r="AO7" s="25">
        <v>1</v>
      </c>
      <c r="AR7" s="93">
        <f t="shared" si="2"/>
        <v>0.48717948717948717</v>
      </c>
      <c r="AV7" s="25">
        <v>1</v>
      </c>
      <c r="AX7" s="25">
        <v>1</v>
      </c>
      <c r="AZ7" s="25">
        <v>1</v>
      </c>
      <c r="BA7" s="25">
        <v>1</v>
      </c>
      <c r="BE7" s="25">
        <v>1</v>
      </c>
      <c r="BF7" s="93">
        <f t="shared" si="3"/>
        <v>0.46153846153846156</v>
      </c>
    </row>
    <row r="8" spans="1:58" ht="12" customHeight="1">
      <c r="A8" s="25" t="s">
        <v>56</v>
      </c>
      <c r="B8" s="25" t="s">
        <v>57</v>
      </c>
      <c r="C8" s="25">
        <v>1</v>
      </c>
      <c r="D8" s="25">
        <v>1</v>
      </c>
      <c r="E8" s="25">
        <v>1</v>
      </c>
      <c r="F8" s="25">
        <v>1</v>
      </c>
      <c r="G8" s="25">
        <v>1</v>
      </c>
      <c r="H8" s="25">
        <v>1</v>
      </c>
      <c r="I8" s="25">
        <v>1</v>
      </c>
      <c r="J8" s="25">
        <v>1</v>
      </c>
      <c r="L8" s="25">
        <v>1</v>
      </c>
      <c r="O8" s="25">
        <v>1</v>
      </c>
      <c r="P8" s="93">
        <f t="shared" si="0"/>
        <v>0.7692307692307693</v>
      </c>
      <c r="Q8" s="25">
        <v>1</v>
      </c>
      <c r="S8" s="25">
        <v>1</v>
      </c>
      <c r="W8" s="25">
        <v>1</v>
      </c>
      <c r="Z8" s="25">
        <v>1</v>
      </c>
      <c r="AD8" s="93">
        <f t="shared" si="1"/>
        <v>0.5384615384615384</v>
      </c>
      <c r="AE8" s="25">
        <v>1</v>
      </c>
      <c r="AG8" s="25">
        <v>1</v>
      </c>
      <c r="AI8" s="25">
        <v>1</v>
      </c>
      <c r="AK8" s="25">
        <v>1</v>
      </c>
      <c r="AM8" s="25">
        <v>1</v>
      </c>
      <c r="AO8" s="25">
        <v>1</v>
      </c>
      <c r="AQ8" s="25">
        <v>1</v>
      </c>
      <c r="AR8" s="93">
        <f t="shared" si="2"/>
        <v>0.46153846153846156</v>
      </c>
      <c r="AS8" s="25">
        <v>1</v>
      </c>
      <c r="AT8" s="25">
        <v>1</v>
      </c>
      <c r="AW8" s="25">
        <v>1</v>
      </c>
      <c r="AY8" s="25">
        <v>1</v>
      </c>
      <c r="BB8" s="25">
        <v>1</v>
      </c>
      <c r="BC8" s="25">
        <v>1</v>
      </c>
      <c r="BD8" s="25">
        <v>1</v>
      </c>
      <c r="BF8" s="93">
        <f t="shared" si="3"/>
        <v>0.4807692307692308</v>
      </c>
    </row>
    <row r="9" spans="2:58" ht="12.75">
      <c r="B9" s="25" t="s">
        <v>118</v>
      </c>
      <c r="P9" s="93">
        <f t="shared" si="0"/>
        <v>0</v>
      </c>
      <c r="AD9" s="93">
        <f t="shared" si="1"/>
        <v>0</v>
      </c>
      <c r="AR9" s="93">
        <f t="shared" si="2"/>
        <v>0</v>
      </c>
      <c r="BF9" s="93">
        <f t="shared" si="3"/>
        <v>0</v>
      </c>
    </row>
    <row r="10" spans="1:58" s="98" customFormat="1" ht="13.5" thickBot="1">
      <c r="A10" s="94" t="s">
        <v>117</v>
      </c>
      <c r="B10" s="95">
        <f>COUNTA(A2:A9)</f>
        <v>7</v>
      </c>
      <c r="C10" s="95">
        <f aca="true" t="shared" si="4" ref="C10:O10">SUM(C2:C9)</f>
        <v>4</v>
      </c>
      <c r="D10" s="95">
        <f t="shared" si="4"/>
        <v>5</v>
      </c>
      <c r="E10" s="95">
        <f t="shared" si="4"/>
        <v>6</v>
      </c>
      <c r="F10" s="95">
        <f t="shared" si="4"/>
        <v>4</v>
      </c>
      <c r="G10" s="95">
        <f t="shared" si="4"/>
        <v>5</v>
      </c>
      <c r="H10" s="95">
        <f t="shared" si="4"/>
        <v>6</v>
      </c>
      <c r="I10" s="95">
        <f t="shared" si="4"/>
        <v>5</v>
      </c>
      <c r="J10" s="95">
        <f t="shared" si="4"/>
        <v>3</v>
      </c>
      <c r="K10" s="95">
        <f t="shared" si="4"/>
        <v>4</v>
      </c>
      <c r="L10" s="95">
        <f t="shared" si="4"/>
        <v>3</v>
      </c>
      <c r="M10" s="95">
        <f t="shared" si="4"/>
        <v>4</v>
      </c>
      <c r="N10" s="95">
        <f t="shared" si="4"/>
        <v>4</v>
      </c>
      <c r="O10" s="95">
        <f t="shared" si="4"/>
        <v>3</v>
      </c>
      <c r="P10" s="96">
        <f>SUM(C10:O10)/(13*$B$10)</f>
        <v>0.6153846153846154</v>
      </c>
      <c r="Q10" s="95">
        <f aca="true" t="shared" si="5" ref="Q10:AC10">SUM(Q2:Q9)</f>
        <v>5</v>
      </c>
      <c r="R10" s="95">
        <f t="shared" si="5"/>
        <v>6</v>
      </c>
      <c r="S10" s="95">
        <f t="shared" si="5"/>
        <v>6</v>
      </c>
      <c r="T10" s="95">
        <f t="shared" si="5"/>
        <v>5</v>
      </c>
      <c r="U10" s="95">
        <f t="shared" si="5"/>
        <v>5</v>
      </c>
      <c r="V10" s="95">
        <f t="shared" si="5"/>
        <v>5</v>
      </c>
      <c r="W10" s="95">
        <f t="shared" si="5"/>
        <v>5</v>
      </c>
      <c r="X10" s="95">
        <f t="shared" si="5"/>
        <v>5</v>
      </c>
      <c r="Y10" s="95">
        <f t="shared" si="5"/>
        <v>5</v>
      </c>
      <c r="Z10" s="95">
        <f t="shared" si="5"/>
        <v>6</v>
      </c>
      <c r="AA10" s="95">
        <f t="shared" si="5"/>
        <v>5</v>
      </c>
      <c r="AB10" s="95">
        <f t="shared" si="5"/>
        <v>5</v>
      </c>
      <c r="AC10" s="95">
        <f t="shared" si="5"/>
        <v>4</v>
      </c>
      <c r="AD10" s="96">
        <f>SUM(Q10:AC10)/(13*$B$10)</f>
        <v>0.7362637362637363</v>
      </c>
      <c r="AE10" s="95">
        <f aca="true" t="shared" si="6" ref="AE10:AQ10">SUM(AE2:AE9)</f>
        <v>5</v>
      </c>
      <c r="AF10" s="95">
        <f t="shared" si="6"/>
        <v>3</v>
      </c>
      <c r="AG10" s="95">
        <f t="shared" si="6"/>
        <v>6</v>
      </c>
      <c r="AH10" s="95">
        <f t="shared" si="6"/>
        <v>4</v>
      </c>
      <c r="AI10" s="95">
        <f t="shared" si="6"/>
        <v>5</v>
      </c>
      <c r="AJ10" s="95">
        <f t="shared" si="6"/>
        <v>3</v>
      </c>
      <c r="AK10" s="95">
        <f t="shared" si="6"/>
        <v>3</v>
      </c>
      <c r="AL10" s="95">
        <f t="shared" si="6"/>
        <v>2</v>
      </c>
      <c r="AM10" s="95">
        <f t="shared" si="6"/>
        <v>5</v>
      </c>
      <c r="AN10" s="95">
        <f t="shared" si="6"/>
        <v>3</v>
      </c>
      <c r="AO10" s="95">
        <f t="shared" si="6"/>
        <v>4</v>
      </c>
      <c r="AP10" s="95">
        <f t="shared" si="6"/>
        <v>3</v>
      </c>
      <c r="AQ10" s="95">
        <f t="shared" si="6"/>
        <v>5</v>
      </c>
      <c r="AR10" s="96">
        <f>SUM(AE10:AQ10)/(13*$B$10)</f>
        <v>0.5604395604395604</v>
      </c>
      <c r="AS10" s="95">
        <f aca="true" t="shared" si="7" ref="AS10:BE10">SUM(AS2:AS9)</f>
        <v>3</v>
      </c>
      <c r="AT10" s="95">
        <f t="shared" si="7"/>
        <v>3</v>
      </c>
      <c r="AU10" s="95">
        <f t="shared" si="7"/>
        <v>3</v>
      </c>
      <c r="AV10" s="95">
        <f t="shared" si="7"/>
        <v>3</v>
      </c>
      <c r="AW10" s="95">
        <f t="shared" si="7"/>
        <v>4</v>
      </c>
      <c r="AX10" s="95">
        <f t="shared" si="7"/>
        <v>3</v>
      </c>
      <c r="AY10" s="95">
        <f t="shared" si="7"/>
        <v>3</v>
      </c>
      <c r="AZ10" s="95">
        <f t="shared" si="7"/>
        <v>3</v>
      </c>
      <c r="BA10" s="95">
        <f t="shared" si="7"/>
        <v>3</v>
      </c>
      <c r="BB10" s="95">
        <f t="shared" si="7"/>
        <v>3</v>
      </c>
      <c r="BC10" s="95">
        <f t="shared" si="7"/>
        <v>3</v>
      </c>
      <c r="BD10" s="95">
        <f t="shared" si="7"/>
        <v>4</v>
      </c>
      <c r="BE10" s="95">
        <f t="shared" si="7"/>
        <v>4</v>
      </c>
      <c r="BF10" s="97">
        <f>SUM(AS10:BE10)/(13*$B$10)</f>
        <v>0.46153846153846156</v>
      </c>
    </row>
    <row r="11" spans="16:58" s="21" customFormat="1" ht="13.5" thickTop="1">
      <c r="P11" s="99"/>
      <c r="AD11" s="99"/>
      <c r="AR11" s="99"/>
      <c r="BF11" s="99"/>
    </row>
    <row r="12" ht="12.75">
      <c r="Q12" s="93"/>
    </row>
    <row r="13" ht="12.75">
      <c r="Q13" s="93"/>
    </row>
    <row r="14" ht="12.75">
      <c r="Q14" s="93"/>
    </row>
    <row r="15" ht="12.75">
      <c r="Q15" s="93"/>
    </row>
    <row r="16" ht="12.75">
      <c r="Q16" s="93"/>
    </row>
    <row r="17" ht="12.75">
      <c r="Q17" s="93"/>
    </row>
    <row r="18" ht="12.75">
      <c r="Q18" s="93"/>
    </row>
    <row r="19" ht="12.75">
      <c r="Q19" s="93"/>
    </row>
    <row r="20" ht="12.75">
      <c r="Q20" s="93"/>
    </row>
    <row r="21" ht="12.75">
      <c r="Q21" s="93"/>
    </row>
    <row r="22" ht="12.75">
      <c r="Q22" s="93"/>
    </row>
    <row r="23" ht="12.75">
      <c r="Q23" s="93"/>
    </row>
    <row r="24" ht="12.75">
      <c r="Q24" s="93"/>
    </row>
    <row r="25" spans="1:17" ht="12.75">
      <c r="A25" s="26"/>
      <c r="B25" s="26"/>
      <c r="C25" s="26"/>
      <c r="Q25" s="93"/>
    </row>
    <row r="26" spans="1:3" s="27" customFormat="1" ht="12.75">
      <c r="A26" s="21"/>
      <c r="B26" s="21"/>
      <c r="C26" s="21"/>
    </row>
    <row r="27" s="21" customFormat="1" ht="12.75"/>
    <row r="28" s="21" customFormat="1" ht="12.75"/>
    <row r="29" s="27" customFormat="1" ht="12.75"/>
    <row r="30" s="27" customFormat="1" ht="12.75"/>
    <row r="31" s="27" customFormat="1" ht="12.75"/>
    <row r="32" s="27" customFormat="1" ht="12.75"/>
    <row r="33" s="27" customFormat="1" ht="12.75"/>
    <row r="34" s="27" customFormat="1" ht="12.75"/>
    <row r="35" s="27" customFormat="1" ht="12.75"/>
    <row r="36" s="27" customFormat="1" ht="12.75"/>
    <row r="37" s="27" customFormat="1" ht="12.75"/>
    <row r="38" s="27" customFormat="1" ht="12.75"/>
    <row r="39" s="27" customFormat="1" ht="12.75"/>
    <row r="40" s="27" customFormat="1" ht="12.75"/>
    <row r="41" s="27" customFormat="1" ht="12.75"/>
    <row r="42" s="27" customFormat="1" ht="12.75"/>
    <row r="43" s="27" customFormat="1" ht="12.75"/>
    <row r="44" s="27" customFormat="1" ht="12.75"/>
    <row r="45" s="27" customFormat="1" ht="12.75"/>
    <row r="46" s="27" customFormat="1" ht="12.75"/>
    <row r="47" s="27" customFormat="1" ht="12.75"/>
    <row r="48" s="27" customFormat="1" ht="12.75"/>
    <row r="49" s="27" customFormat="1" ht="12.75"/>
    <row r="50" s="27" customFormat="1" ht="12.75"/>
    <row r="51" s="27" customFormat="1" ht="12.75"/>
    <row r="52" s="27" customFormat="1" ht="12.75"/>
    <row r="53" s="27" customFormat="1" ht="12.75"/>
    <row r="54" s="27" customFormat="1" ht="12.75"/>
    <row r="55" s="27" customFormat="1" ht="12.75"/>
    <row r="56" s="27" customFormat="1" ht="12.75"/>
    <row r="57" s="27" customFormat="1" ht="12.75"/>
    <row r="58" s="27" customFormat="1" ht="12.75"/>
    <row r="59" s="27" customFormat="1" ht="12.75"/>
    <row r="60" s="27" customFormat="1" ht="12.75"/>
    <row r="61" s="27" customFormat="1" ht="12.75"/>
    <row r="62" s="27" customFormat="1" ht="12.75"/>
    <row r="63" s="27" customFormat="1" ht="12.75"/>
    <row r="64" s="27" customFormat="1" ht="12.75"/>
    <row r="65" s="27" customFormat="1" ht="12.75"/>
    <row r="66" s="27" customFormat="1" ht="12.75"/>
    <row r="67" s="27" customFormat="1" ht="12.75"/>
    <row r="68" s="27" customFormat="1" ht="12.75"/>
    <row r="69" s="27" customFormat="1" ht="12.75"/>
    <row r="70" s="27" customFormat="1" ht="12.75"/>
    <row r="71" s="27" customFormat="1" ht="12.75"/>
    <row r="72" s="27" customFormat="1" ht="12.75"/>
    <row r="73" s="27" customFormat="1" ht="12.75"/>
    <row r="74" s="27" customFormat="1" ht="12.75"/>
    <row r="75" s="27" customFormat="1" ht="12.75"/>
    <row r="76" s="27" customFormat="1" ht="12.75"/>
    <row r="77" s="27" customFormat="1" ht="12.75"/>
    <row r="78" s="27" customFormat="1" ht="12.75"/>
    <row r="79" s="27" customFormat="1" ht="12.75"/>
    <row r="80" s="27" customFormat="1" ht="12.75"/>
    <row r="81" s="27" customFormat="1" ht="12.75"/>
    <row r="82" s="27" customFormat="1" ht="12.75"/>
    <row r="83" s="27" customFormat="1" ht="12.75"/>
    <row r="84" s="27" customFormat="1" ht="12.75"/>
    <row r="85" s="27" customFormat="1" ht="12.75"/>
    <row r="86" s="27" customFormat="1" ht="12.75"/>
    <row r="87" s="27" customFormat="1" ht="12.75"/>
    <row r="88" s="27" customFormat="1" ht="12.75"/>
    <row r="89" s="27" customFormat="1" ht="12.75"/>
    <row r="90" s="27" customFormat="1" ht="12.75"/>
    <row r="91" s="27" customFormat="1" ht="12.75"/>
    <row r="92" s="27" customFormat="1" ht="12.75"/>
    <row r="93" s="27" customFormat="1" ht="12.75"/>
    <row r="94" s="27" customFormat="1" ht="12.75"/>
    <row r="95" s="27" customFormat="1" ht="12.75"/>
    <row r="96" s="27" customFormat="1" ht="12.75"/>
    <row r="97" s="27" customFormat="1" ht="12.75"/>
    <row r="98" s="27" customFormat="1" ht="12.75"/>
    <row r="99" s="27" customFormat="1" ht="12.75"/>
    <row r="100" s="27" customFormat="1" ht="12.75"/>
    <row r="101" s="27" customFormat="1" ht="12.75"/>
    <row r="102" s="27" customFormat="1" ht="12.75"/>
    <row r="103" s="27" customFormat="1" ht="12.75"/>
    <row r="104" s="27" customFormat="1" ht="12.75"/>
    <row r="105" s="27" customFormat="1" ht="12.75"/>
    <row r="106" s="27" customFormat="1" ht="12.75"/>
    <row r="107" s="27" customFormat="1" ht="12.75"/>
    <row r="108" s="27" customFormat="1" ht="12.75"/>
    <row r="109" s="27" customFormat="1" ht="12.75"/>
    <row r="110" s="27" customFormat="1" ht="12.75"/>
    <row r="111" s="27" customFormat="1" ht="12.75"/>
    <row r="112" s="27" customFormat="1" ht="12.75"/>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sheetData>
  <printOptions/>
  <pageMargins left="0.75" right="0.75" top="1" bottom="1" header="0.5" footer="0.5"/>
  <pageSetup horizontalDpi="600" verticalDpi="600" orientation="landscape" r:id="rId3"/>
  <headerFooter alignWithMargins="0">
    <oddHeader>&amp;CUNPROOFED DRAFT--NOT FOR SALE OR DISTRIBUTION</oddHeader>
    <oddFooter>&amp;C&amp;8&amp;A &amp;P
From &amp;"Arial,Italic"Effectiveness by the Numbers&amp;"Arial,Regular" by William R. Hoyt Copyright 2007 by Abingdon Press. Reproduced by permission.</oddFooter>
  </headerFooter>
  <colBreaks count="3" manualBreakCount="3">
    <brk id="16" max="65535" man="1"/>
    <brk id="30" max="65535" man="1"/>
    <brk id="44" max="65535" man="1"/>
  </colBreaks>
  <legacyDrawing r:id="rId2"/>
</worksheet>
</file>

<file path=xl/worksheets/sheet6.xml><?xml version="1.0" encoding="utf-8"?>
<worksheet xmlns="http://schemas.openxmlformats.org/spreadsheetml/2006/main" xmlns:r="http://schemas.openxmlformats.org/officeDocument/2006/relationships">
  <dimension ref="A1:G3"/>
  <sheetViews>
    <sheetView workbookViewId="0" topLeftCell="A1">
      <selection activeCell="A1" sqref="A1"/>
    </sheetView>
  </sheetViews>
  <sheetFormatPr defaultColWidth="9.140625" defaultRowHeight="12.75"/>
  <cols>
    <col min="1" max="1" width="16.28125" style="0" customWidth="1"/>
    <col min="2" max="2" width="19.140625" style="0" customWidth="1"/>
    <col min="3" max="3" width="19.28125" style="0" customWidth="1"/>
    <col min="4" max="4" width="16.140625" style="0" customWidth="1"/>
    <col min="5" max="5" width="15.7109375" style="0" bestFit="1" customWidth="1"/>
    <col min="6" max="6" width="16.7109375" style="0" customWidth="1"/>
    <col min="7" max="7" width="18.140625" style="0" customWidth="1"/>
  </cols>
  <sheetData>
    <row r="1" spans="1:7" ht="14.25" thickBot="1" thickTop="1">
      <c r="A1" s="7"/>
      <c r="B1" s="101" t="s">
        <v>27</v>
      </c>
      <c r="C1" s="102"/>
      <c r="D1" s="103" t="s">
        <v>28</v>
      </c>
      <c r="E1" s="101"/>
      <c r="F1" s="102"/>
      <c r="G1" s="8" t="s">
        <v>29</v>
      </c>
    </row>
    <row r="2" spans="1:7" ht="14.25" thickBot="1" thickTop="1">
      <c r="A2" s="6" t="s">
        <v>32</v>
      </c>
      <c r="B2" s="4" t="s">
        <v>0</v>
      </c>
      <c r="C2" s="4" t="s">
        <v>1</v>
      </c>
      <c r="D2" s="4" t="s">
        <v>17</v>
      </c>
      <c r="E2" s="4" t="s">
        <v>31</v>
      </c>
      <c r="F2" s="4" t="s">
        <v>30</v>
      </c>
      <c r="G2" s="5"/>
    </row>
    <row r="3" spans="4:7" ht="13.5" thickTop="1">
      <c r="D3">
        <v>1</v>
      </c>
      <c r="E3">
        <v>1</v>
      </c>
      <c r="F3">
        <v>1</v>
      </c>
      <c r="G3">
        <v>1</v>
      </c>
    </row>
  </sheetData>
  <mergeCells count="2">
    <mergeCell ref="B1:C1"/>
    <mergeCell ref="D1:F1"/>
  </mergeCells>
  <printOptions/>
  <pageMargins left="0.75" right="0.75" top="1" bottom="1" header="0.5" footer="0.5"/>
  <pageSetup horizontalDpi="300" verticalDpi="300" orientation="landscape" r:id="rId3"/>
  <headerFooter alignWithMargins="0">
    <oddHeader>&amp;CUNPROOFED DRAFT--NOT FOR SALE OR DISTRIBUTION</oddHeader>
    <oddFooter>&amp;C&amp;8&amp;A &amp;P
From &amp;"Arial,Italic"Effectiveness by the Numbers&amp;"Arial,Regular" by William R. Hoyt Copyright 2007 by Abingdon Press. Reproduced by permission.</oddFooter>
  </headerFooter>
  <legacyDrawing r:id="rId2"/>
</worksheet>
</file>

<file path=xl/worksheets/sheet7.xml><?xml version="1.0" encoding="utf-8"?>
<worksheet xmlns="http://schemas.openxmlformats.org/spreadsheetml/2006/main" xmlns:r="http://schemas.openxmlformats.org/officeDocument/2006/relationships">
  <dimension ref="A1:M22"/>
  <sheetViews>
    <sheetView workbookViewId="0" topLeftCell="A1">
      <selection activeCell="A1" sqref="A1"/>
    </sheetView>
  </sheetViews>
  <sheetFormatPr defaultColWidth="9.140625" defaultRowHeight="12.75"/>
  <cols>
    <col min="1" max="1" width="9.00390625" style="0" customWidth="1"/>
    <col min="2" max="2" width="16.00390625" style="0" customWidth="1"/>
    <col min="3" max="3" width="17.140625" style="0" customWidth="1"/>
    <col min="4" max="4" width="8.57421875" style="0" bestFit="1" customWidth="1"/>
    <col min="5" max="5" width="8.57421875" style="0" customWidth="1"/>
    <col min="6" max="6" width="8.00390625" style="0" customWidth="1"/>
    <col min="7" max="7" width="9.00390625" style="0" customWidth="1"/>
    <col min="8" max="8" width="10.7109375" style="0" customWidth="1"/>
    <col min="9" max="9" width="11.140625" style="0" customWidth="1"/>
    <col min="10" max="10" width="6.8515625" style="0" customWidth="1"/>
    <col min="11" max="11" width="7.7109375" style="0" customWidth="1"/>
    <col min="12" max="12" width="6.7109375" style="0" customWidth="1"/>
    <col min="13" max="13" width="6.28125" style="0" bestFit="1" customWidth="1"/>
    <col min="14" max="14" width="7.8515625" style="0" customWidth="1"/>
    <col min="15" max="15" width="5.28125" style="0" customWidth="1"/>
  </cols>
  <sheetData>
    <row r="1" spans="1:13" s="28" customFormat="1" ht="51.75" thickBot="1">
      <c r="A1" s="33" t="s">
        <v>8</v>
      </c>
      <c r="B1" s="34" t="s">
        <v>0</v>
      </c>
      <c r="C1" s="34" t="s">
        <v>1</v>
      </c>
      <c r="D1" s="34" t="s">
        <v>5</v>
      </c>
      <c r="E1" s="34" t="s">
        <v>4</v>
      </c>
      <c r="F1" s="34" t="s">
        <v>2</v>
      </c>
      <c r="G1" s="34" t="s">
        <v>3</v>
      </c>
      <c r="H1" s="34" t="s">
        <v>24</v>
      </c>
      <c r="I1" s="34" t="s">
        <v>9</v>
      </c>
      <c r="J1" s="34" t="s">
        <v>6</v>
      </c>
      <c r="K1" s="34" t="s">
        <v>123</v>
      </c>
      <c r="L1" s="38" t="s">
        <v>7</v>
      </c>
      <c r="M1" s="31">
        <f>SUM($A:$A)/(COUNTA($B:$B)-1)</f>
        <v>0.42857142857142855</v>
      </c>
    </row>
    <row r="2" spans="1:8" ht="12.75">
      <c r="A2">
        <v>1</v>
      </c>
      <c r="B2" s="22" t="s">
        <v>46</v>
      </c>
      <c r="C2" s="22" t="s">
        <v>47</v>
      </c>
      <c r="D2">
        <v>1</v>
      </c>
      <c r="G2">
        <v>1</v>
      </c>
      <c r="H2">
        <v>1</v>
      </c>
    </row>
    <row r="3" spans="2:9" ht="12.75">
      <c r="B3" s="22" t="s">
        <v>46</v>
      </c>
      <c r="C3" s="22" t="s">
        <v>48</v>
      </c>
      <c r="E3">
        <v>1</v>
      </c>
      <c r="I3">
        <v>1</v>
      </c>
    </row>
    <row r="4" spans="2:7" ht="12.75">
      <c r="B4" s="22" t="s">
        <v>49</v>
      </c>
      <c r="C4" s="22" t="s">
        <v>50</v>
      </c>
      <c r="G4">
        <v>1</v>
      </c>
    </row>
    <row r="5" spans="1:10" ht="12.75">
      <c r="A5">
        <v>1</v>
      </c>
      <c r="B5" s="22" t="s">
        <v>51</v>
      </c>
      <c r="C5" s="22" t="s">
        <v>52</v>
      </c>
      <c r="F5">
        <v>1</v>
      </c>
      <c r="H5">
        <v>1</v>
      </c>
      <c r="J5">
        <v>1</v>
      </c>
    </row>
    <row r="6" spans="1:9" ht="12.75">
      <c r="A6">
        <v>1</v>
      </c>
      <c r="B6" s="22" t="s">
        <v>51</v>
      </c>
      <c r="C6" s="22" t="s">
        <v>53</v>
      </c>
      <c r="D6">
        <v>1</v>
      </c>
      <c r="H6">
        <v>1</v>
      </c>
      <c r="I6">
        <v>1</v>
      </c>
    </row>
    <row r="7" spans="2:10" ht="12.75">
      <c r="B7" s="22" t="s">
        <v>54</v>
      </c>
      <c r="C7" s="22" t="s">
        <v>55</v>
      </c>
      <c r="J7">
        <v>1</v>
      </c>
    </row>
    <row r="8" spans="2:3" ht="12.75">
      <c r="B8" s="22" t="s">
        <v>56</v>
      </c>
      <c r="C8" s="22" t="s">
        <v>57</v>
      </c>
    </row>
    <row r="19" ht="15.75">
      <c r="B19" s="15"/>
    </row>
    <row r="20" ht="15.75">
      <c r="C20" s="15"/>
    </row>
    <row r="21" ht="12.75">
      <c r="B21" s="29"/>
    </row>
    <row r="22" ht="12.75">
      <c r="B22" s="30"/>
    </row>
  </sheetData>
  <printOptions/>
  <pageMargins left="0.75" right="0.75" top="1" bottom="1" header="0.5" footer="0.5"/>
  <pageSetup horizontalDpi="600" verticalDpi="600" orientation="landscape" scale="98" r:id="rId3"/>
  <headerFooter alignWithMargins="0">
    <oddHeader>&amp;CUNPROOFED DRAFT--NOT FOR SALE OR DISTRIBUTION</oddHeader>
    <oddFooter>&amp;C&amp;8&amp;A &amp;P
From &amp;"Arial,Italic"Effectiveness by the Numbers&amp;"Arial,Regular" by William R. Hoyt Copyright 2007 by Abingdon Press. Reproduced by permission.</oddFooter>
  </headerFooter>
  <legacyDrawing r:id="rId2"/>
</worksheet>
</file>

<file path=xl/worksheets/sheet8.xml><?xml version="1.0" encoding="utf-8"?>
<worksheet xmlns="http://schemas.openxmlformats.org/spreadsheetml/2006/main" xmlns:r="http://schemas.openxmlformats.org/officeDocument/2006/relationships">
  <dimension ref="A1:L8"/>
  <sheetViews>
    <sheetView workbookViewId="0" topLeftCell="A1">
      <selection activeCell="A1" sqref="A1"/>
    </sheetView>
  </sheetViews>
  <sheetFormatPr defaultColWidth="9.140625" defaultRowHeight="12.75"/>
  <cols>
    <col min="1" max="1" width="6.57421875" style="0" bestFit="1" customWidth="1"/>
    <col min="2" max="2" width="19.00390625" style="0" customWidth="1"/>
    <col min="3" max="3" width="17.57421875" style="0" customWidth="1"/>
    <col min="4" max="4" width="9.7109375" style="0" customWidth="1"/>
    <col min="5" max="5" width="9.8515625" style="0" customWidth="1"/>
    <col min="6" max="6" width="10.57421875" style="0" customWidth="1"/>
    <col min="7" max="8" width="11.7109375" style="0" customWidth="1"/>
    <col min="9" max="9" width="11.00390625" style="0" customWidth="1"/>
    <col min="10" max="10" width="5.421875" style="0" customWidth="1"/>
    <col min="11" max="11" width="4.421875" style="0" customWidth="1"/>
    <col min="12" max="12" width="5.421875" style="0" bestFit="1" customWidth="1"/>
    <col min="13" max="13" width="9.00390625" style="0" customWidth="1"/>
    <col min="14" max="14" width="7.00390625" style="0" customWidth="1"/>
  </cols>
  <sheetData>
    <row r="1" spans="1:12" s="9" customFormat="1" ht="51.75" thickBot="1">
      <c r="A1" s="33" t="s">
        <v>8</v>
      </c>
      <c r="B1" s="34" t="s">
        <v>0</v>
      </c>
      <c r="C1" s="34" t="s">
        <v>1</v>
      </c>
      <c r="D1" s="34" t="s">
        <v>18</v>
      </c>
      <c r="E1" s="34" t="s">
        <v>20</v>
      </c>
      <c r="F1" s="34" t="s">
        <v>21</v>
      </c>
      <c r="G1" s="34" t="s">
        <v>22</v>
      </c>
      <c r="H1" s="34" t="s">
        <v>23</v>
      </c>
      <c r="I1" s="34" t="s">
        <v>19</v>
      </c>
      <c r="J1" s="34"/>
      <c r="K1" s="38"/>
      <c r="L1" s="31">
        <f>SUM($A:$A)/(COUNTA($B:$B)-1)</f>
        <v>0.14285714285714285</v>
      </c>
    </row>
    <row r="2" spans="2:3" ht="12.75">
      <c r="B2" s="22" t="s">
        <v>46</v>
      </c>
      <c r="C2" s="22" t="s">
        <v>47</v>
      </c>
    </row>
    <row r="3" spans="1:4" ht="12.75">
      <c r="A3">
        <v>1</v>
      </c>
      <c r="B3" s="22" t="s">
        <v>46</v>
      </c>
      <c r="C3" s="22" t="s">
        <v>48</v>
      </c>
      <c r="D3">
        <v>1</v>
      </c>
    </row>
    <row r="4" spans="2:3" ht="12.75">
      <c r="B4" s="22" t="s">
        <v>49</v>
      </c>
      <c r="C4" s="22" t="s">
        <v>50</v>
      </c>
    </row>
    <row r="5" spans="2:3" ht="12.75">
      <c r="B5" s="22" t="s">
        <v>51</v>
      </c>
      <c r="C5" s="22" t="s">
        <v>52</v>
      </c>
    </row>
    <row r="6" spans="2:3" ht="12.75">
      <c r="B6" s="22" t="s">
        <v>51</v>
      </c>
      <c r="C6" s="22" t="s">
        <v>53</v>
      </c>
    </row>
    <row r="7" spans="2:3" ht="12.75">
      <c r="B7" s="22" t="s">
        <v>54</v>
      </c>
      <c r="C7" s="22" t="s">
        <v>55</v>
      </c>
    </row>
    <row r="8" spans="2:3" ht="12.75">
      <c r="B8" s="22" t="s">
        <v>56</v>
      </c>
      <c r="C8" s="22" t="s">
        <v>57</v>
      </c>
    </row>
  </sheetData>
  <printOptions/>
  <pageMargins left="0.75" right="0.75" top="1" bottom="1" header="0.5" footer="0.5"/>
  <pageSetup horizontalDpi="600" verticalDpi="600" orientation="landscape" r:id="rId3"/>
  <headerFooter alignWithMargins="0">
    <oddHeader>&amp;CUNPROOFED DRAFT--NOT FOR SALE OR DISTRIBUTION</oddHeader>
    <oddFooter>&amp;C&amp;8&amp;A &amp;P
From &amp;"Arial,Italic"Effectiveness by the Numbers &amp;"Arial,Regular"by William R. Hoyt Copyright 2007 by Abingdon Press. Reproduced by permission.</oddFooter>
  </headerFooter>
  <legacyDrawing r:id="rId2"/>
</worksheet>
</file>

<file path=xl/worksheets/sheet9.xml><?xml version="1.0" encoding="utf-8"?>
<worksheet xmlns="http://schemas.openxmlformats.org/spreadsheetml/2006/main" xmlns:r="http://schemas.openxmlformats.org/officeDocument/2006/relationships">
  <dimension ref="A1:K8"/>
  <sheetViews>
    <sheetView workbookViewId="0" topLeftCell="A1">
      <selection activeCell="A1" sqref="A1"/>
    </sheetView>
  </sheetViews>
  <sheetFormatPr defaultColWidth="9.140625" defaultRowHeight="12.75"/>
  <cols>
    <col min="1" max="1" width="6.57421875" style="0" bestFit="1" customWidth="1"/>
    <col min="2" max="2" width="18.8515625" style="0" customWidth="1"/>
    <col min="3" max="3" width="18.421875" style="0" customWidth="1"/>
    <col min="4" max="4" width="10.8515625" style="0" customWidth="1"/>
    <col min="5" max="5" width="10.7109375" style="0" customWidth="1"/>
    <col min="6" max="6" width="12.140625" style="0" customWidth="1"/>
    <col min="7" max="7" width="7.57421875" style="0" bestFit="1" customWidth="1"/>
    <col min="8" max="8" width="8.140625" style="0" bestFit="1" customWidth="1"/>
    <col min="9" max="9" width="6.140625" style="0" bestFit="1" customWidth="1"/>
    <col min="10" max="10" width="4.00390625" style="0" customWidth="1"/>
  </cols>
  <sheetData>
    <row r="1" spans="1:11" s="32" customFormat="1" ht="51.75" thickBot="1">
      <c r="A1" s="35" t="s">
        <v>8</v>
      </c>
      <c r="B1" s="36" t="s">
        <v>0</v>
      </c>
      <c r="C1" s="36" t="s">
        <v>1</v>
      </c>
      <c r="D1" s="36" t="s">
        <v>10</v>
      </c>
      <c r="E1" s="36" t="s">
        <v>11</v>
      </c>
      <c r="F1" s="36" t="s">
        <v>12</v>
      </c>
      <c r="G1" s="36" t="s">
        <v>124</v>
      </c>
      <c r="H1" s="37" t="s">
        <v>124</v>
      </c>
      <c r="I1" s="31">
        <f>SUM($A:$A)/(COUNTA($B:$B)-1)</f>
        <v>0.2857142857142857</v>
      </c>
      <c r="J1" s="84"/>
      <c r="K1"/>
    </row>
    <row r="2" spans="2:3" ht="12.75">
      <c r="B2" s="22" t="s">
        <v>46</v>
      </c>
      <c r="C2" s="22" t="s">
        <v>47</v>
      </c>
    </row>
    <row r="3" spans="2:3" ht="12.75">
      <c r="B3" s="22" t="s">
        <v>46</v>
      </c>
      <c r="C3" s="22" t="s">
        <v>48</v>
      </c>
    </row>
    <row r="4" spans="2:3" ht="12.75">
      <c r="B4" s="22" t="s">
        <v>49</v>
      </c>
      <c r="C4" s="22" t="s">
        <v>50</v>
      </c>
    </row>
    <row r="5" spans="2:3" ht="12.75">
      <c r="B5" s="22" t="s">
        <v>51</v>
      </c>
      <c r="C5" s="22" t="s">
        <v>52</v>
      </c>
    </row>
    <row r="6" spans="2:3" ht="12.75">
      <c r="B6" s="22" t="s">
        <v>51</v>
      </c>
      <c r="C6" s="22" t="s">
        <v>53</v>
      </c>
    </row>
    <row r="7" spans="1:4" ht="12.75">
      <c r="A7">
        <v>1</v>
      </c>
      <c r="B7" s="22" t="s">
        <v>54</v>
      </c>
      <c r="C7" s="22" t="s">
        <v>55</v>
      </c>
      <c r="D7">
        <v>1</v>
      </c>
    </row>
    <row r="8" spans="1:5" ht="12.75">
      <c r="A8">
        <v>1</v>
      </c>
      <c r="B8" s="22" t="s">
        <v>56</v>
      </c>
      <c r="C8" s="22" t="s">
        <v>57</v>
      </c>
      <c r="E8">
        <v>1</v>
      </c>
    </row>
  </sheetData>
  <printOptions/>
  <pageMargins left="0.75" right="0.75" top="1" bottom="1" header="0.5" footer="0.5"/>
  <pageSetup horizontalDpi="600" verticalDpi="600" orientation="landscape" r:id="rId3"/>
  <headerFooter alignWithMargins="0">
    <oddHeader>&amp;CUNPROOFED DRAFT--NOT FOR SALE OR DISTRIBUTION</oddHeader>
    <oddFooter>&amp;C&amp;8&amp;A &amp;P
From &amp;"Arial,Italic"Effectiveness by the Numbers&amp;"Arial,Regular" by William R. Hoyt Copyright 2007 by Abingdon Press. Reproduced by permission.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NexStep Coaching and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Hoyt</dc:creator>
  <cp:keywords/>
  <dc:description/>
  <cp:lastModifiedBy>Myca Alford</cp:lastModifiedBy>
  <cp:lastPrinted>2007-06-14T16:24:40Z</cp:lastPrinted>
  <dcterms:created xsi:type="dcterms:W3CDTF">2006-09-17T00:37:33Z</dcterms:created>
  <dcterms:modified xsi:type="dcterms:W3CDTF">2010-07-20T15:22:09Z</dcterms:modified>
  <cp:category/>
  <cp:version/>
  <cp:contentType/>
  <cp:contentStatus/>
</cp:coreProperties>
</file>